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ty\Rocketry\"/>
    </mc:Choice>
  </mc:AlternateContent>
  <bookViews>
    <workbookView xWindow="0" yWindow="0" windowWidth="28800" windowHeight="14100" activeTab="6" xr2:uid="{00000000-000D-0000-FFFF-FFFF00000000}"/>
  </bookViews>
  <sheets>
    <sheet name="OF5.4" sheetId="1" r:id="rId1"/>
    <sheet name="OF6.5" sheetId="2" r:id="rId2"/>
    <sheet name="OF4" sheetId="3" r:id="rId3"/>
    <sheet name="OF4.5 - Low Alt" sheetId="7" r:id="rId4"/>
    <sheet name="OF4.5 - High Alt" sheetId="8" r:id="rId5"/>
    <sheet name="OF4 - Recordbreaker" sheetId="4" r:id="rId6"/>
    <sheet name="OF4.5 - Recordbreaker" sheetId="9" r:id="rId7"/>
    <sheet name="Import Data - Deliverance" sheetId="12" r:id="rId8"/>
    <sheet name="Import Data - Recordbreaker" sheetId="10" r:id="rId9"/>
    <sheet name="Export Data" sheetId="11" r:id="rId10"/>
  </sheets>
  <definedNames>
    <definedName name="solver_adj" localSheetId="4" hidden="1">'OF4.5 - High Alt'!$E$2,'OF4.5 - High Alt'!$L$20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ng" localSheetId="6" hidden="1">1</definedName>
    <definedName name="solver_est" localSheetId="4" hidden="1">1</definedName>
    <definedName name="solver_itr" localSheetId="4" hidden="1">2147483647</definedName>
    <definedName name="solver_lhs1" localSheetId="4" hidden="1">'OF4.5 - High Alt'!$O$25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eg" localSheetId="6" hidden="1">1</definedName>
    <definedName name="solver_nod" localSheetId="4" hidden="1">2147483647</definedName>
    <definedName name="solver_num" localSheetId="4" hidden="1">1</definedName>
    <definedName name="solver_num" localSheetId="6" hidden="1">0</definedName>
    <definedName name="solver_nwt" localSheetId="4" hidden="1">1</definedName>
    <definedName name="solver_opt" localSheetId="4" hidden="1">'OF4.5 - High Alt'!$I$24</definedName>
    <definedName name="solver_opt" localSheetId="6" hidden="1">'OF4.5 - Recordbreaker'!$L$20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hs1" localSheetId="4" hidden="1">3.5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typ" localSheetId="6" hidden="1">1</definedName>
    <definedName name="solver_val" localSheetId="4" hidden="1">8.2</definedName>
    <definedName name="solver_val" localSheetId="6" hidden="1">0</definedName>
    <definedName name="solver_ver" localSheetId="4" hidden="1">3</definedName>
    <definedName name="solver_ver" localSheetId="6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9" l="1"/>
  <c r="M17" i="9"/>
  <c r="I11" i="9"/>
  <c r="E4" i="9"/>
  <c r="I9" i="9"/>
  <c r="E1" i="9"/>
  <c r="I8" i="9"/>
  <c r="I10" i="9" l="1"/>
  <c r="B12" i="9"/>
  <c r="B15" i="9"/>
  <c r="I14" i="9"/>
  <c r="J14" i="9"/>
  <c r="B3" i="9" l="1"/>
  <c r="B1" i="9"/>
  <c r="I39" i="9" l="1"/>
  <c r="M14" i="9"/>
  <c r="B3" i="8"/>
  <c r="N4" i="8" s="1"/>
  <c r="I26" i="9" l="1"/>
  <c r="I1" i="9"/>
  <c r="B1" i="8" l="1"/>
  <c r="E1" i="8" s="1"/>
  <c r="B25" i="10" l="1"/>
  <c r="B23" i="10"/>
  <c r="B23" i="12" l="1"/>
  <c r="B24" i="12"/>
  <c r="B14" i="12"/>
  <c r="E6" i="8"/>
  <c r="E4" i="8"/>
  <c r="B4" i="12" s="1"/>
  <c r="E10" i="9" l="1"/>
  <c r="B6" i="10"/>
  <c r="A176" i="9" l="1"/>
  <c r="I21" i="9"/>
  <c r="I36" i="9"/>
  <c r="I35" i="9" s="1"/>
  <c r="C10" i="9"/>
  <c r="C1" i="9"/>
  <c r="B28" i="9" l="1"/>
  <c r="C28" i="9" s="1"/>
  <c r="E28" i="9" s="1"/>
  <c r="C15" i="9"/>
  <c r="I16" i="9"/>
  <c r="B17" i="9"/>
  <c r="C17" i="9" s="1"/>
  <c r="D17" i="9" s="1"/>
  <c r="B37" i="9"/>
  <c r="C37" i="9" s="1"/>
  <c r="D37" i="9" s="1"/>
  <c r="B16" i="9"/>
  <c r="C16" i="9" s="1"/>
  <c r="E16" i="9" s="1"/>
  <c r="B19" i="9"/>
  <c r="C19" i="9" s="1"/>
  <c r="D19" i="9" s="1"/>
  <c r="B35" i="9"/>
  <c r="C35" i="9" s="1"/>
  <c r="D35" i="9" s="1"/>
  <c r="B44" i="9"/>
  <c r="C44" i="9" s="1"/>
  <c r="D44" i="9" s="1"/>
  <c r="B176" i="9"/>
  <c r="C176" i="9" s="1"/>
  <c r="B22" i="9"/>
  <c r="C22" i="9" s="1"/>
  <c r="E22" i="9" s="1"/>
  <c r="B36" i="9"/>
  <c r="C36" i="9" s="1"/>
  <c r="E36" i="9" s="1"/>
  <c r="I33" i="9"/>
  <c r="B317" i="9"/>
  <c r="C317" i="9" s="1"/>
  <c r="E317" i="9" s="1"/>
  <c r="B315" i="9"/>
  <c r="C315" i="9" s="1"/>
  <c r="E315" i="9" s="1"/>
  <c r="B313" i="9"/>
  <c r="C313" i="9" s="1"/>
  <c r="D313" i="9" s="1"/>
  <c r="B311" i="9"/>
  <c r="C311" i="9" s="1"/>
  <c r="D311" i="9" s="1"/>
  <c r="B309" i="9"/>
  <c r="C309" i="9" s="1"/>
  <c r="D309" i="9" s="1"/>
  <c r="B307" i="9"/>
  <c r="C307" i="9" s="1"/>
  <c r="D307" i="9" s="1"/>
  <c r="B305" i="9"/>
  <c r="C305" i="9" s="1"/>
  <c r="D305" i="9" s="1"/>
  <c r="B303" i="9"/>
  <c r="C303" i="9" s="1"/>
  <c r="E303" i="9" s="1"/>
  <c r="B301" i="9"/>
  <c r="C301" i="9" s="1"/>
  <c r="D301" i="9" s="1"/>
  <c r="B299" i="9"/>
  <c r="C299" i="9" s="1"/>
  <c r="D299" i="9" s="1"/>
  <c r="B297" i="9"/>
  <c r="C297" i="9" s="1"/>
  <c r="E297" i="9" s="1"/>
  <c r="B295" i="9"/>
  <c r="C295" i="9" s="1"/>
  <c r="D295" i="9" s="1"/>
  <c r="B293" i="9"/>
  <c r="C293" i="9" s="1"/>
  <c r="D293" i="9" s="1"/>
  <c r="B291" i="9"/>
  <c r="C291" i="9" s="1"/>
  <c r="E291" i="9" s="1"/>
  <c r="B289" i="9"/>
  <c r="C289" i="9" s="1"/>
  <c r="E289" i="9" s="1"/>
  <c r="B287" i="9"/>
  <c r="C287" i="9" s="1"/>
  <c r="D287" i="9" s="1"/>
  <c r="B285" i="9"/>
  <c r="C285" i="9" s="1"/>
  <c r="E285" i="9" s="1"/>
  <c r="B283" i="9"/>
  <c r="C283" i="9" s="1"/>
  <c r="E283" i="9" s="1"/>
  <c r="B281" i="9"/>
  <c r="C281" i="9" s="1"/>
  <c r="D281" i="9" s="1"/>
  <c r="B279" i="9"/>
  <c r="C279" i="9" s="1"/>
  <c r="D279" i="9" s="1"/>
  <c r="B277" i="9"/>
  <c r="C277" i="9" s="1"/>
  <c r="D277" i="9" s="1"/>
  <c r="B275" i="9"/>
  <c r="C275" i="9" s="1"/>
  <c r="E275" i="9" s="1"/>
  <c r="B273" i="9"/>
  <c r="C273" i="9" s="1"/>
  <c r="E273" i="9" s="1"/>
  <c r="B271" i="9"/>
  <c r="C271" i="9" s="1"/>
  <c r="E271" i="9" s="1"/>
  <c r="B269" i="9"/>
  <c r="C269" i="9" s="1"/>
  <c r="D269" i="9" s="1"/>
  <c r="B267" i="9"/>
  <c r="C267" i="9" s="1"/>
  <c r="E267" i="9" s="1"/>
  <c r="B265" i="9"/>
  <c r="C265" i="9" s="1"/>
  <c r="E265" i="9" s="1"/>
  <c r="B263" i="9"/>
  <c r="C263" i="9" s="1"/>
  <c r="E263" i="9" s="1"/>
  <c r="B261" i="9"/>
  <c r="C261" i="9" s="1"/>
  <c r="E261" i="9" s="1"/>
  <c r="B259" i="9"/>
  <c r="C259" i="9" s="1"/>
  <c r="E259" i="9" s="1"/>
  <c r="B257" i="9"/>
  <c r="C257" i="9" s="1"/>
  <c r="E257" i="9" s="1"/>
  <c r="B255" i="9"/>
  <c r="C255" i="9" s="1"/>
  <c r="D255" i="9" s="1"/>
  <c r="B253" i="9"/>
  <c r="C253" i="9" s="1"/>
  <c r="E253" i="9" s="1"/>
  <c r="B251" i="9"/>
  <c r="C251" i="9" s="1"/>
  <c r="D251" i="9" s="1"/>
  <c r="B249" i="9"/>
  <c r="C249" i="9" s="1"/>
  <c r="D249" i="9" s="1"/>
  <c r="B247" i="9"/>
  <c r="C247" i="9" s="1"/>
  <c r="D247" i="9" s="1"/>
  <c r="B245" i="9"/>
  <c r="C245" i="9" s="1"/>
  <c r="D245" i="9" s="1"/>
  <c r="B243" i="9"/>
  <c r="C243" i="9" s="1"/>
  <c r="E243" i="9" s="1"/>
  <c r="B241" i="9"/>
  <c r="C241" i="9" s="1"/>
  <c r="E241" i="9" s="1"/>
  <c r="B239" i="9"/>
  <c r="C239" i="9" s="1"/>
  <c r="E239" i="9" s="1"/>
  <c r="B237" i="9"/>
  <c r="C237" i="9" s="1"/>
  <c r="D237" i="9" s="1"/>
  <c r="B235" i="9"/>
  <c r="C235" i="9" s="1"/>
  <c r="E235" i="9" s="1"/>
  <c r="B233" i="9"/>
  <c r="C233" i="9" s="1"/>
  <c r="E233" i="9" s="1"/>
  <c r="B231" i="9"/>
  <c r="C231" i="9" s="1"/>
  <c r="D231" i="9" s="1"/>
  <c r="B229" i="9"/>
  <c r="C229" i="9" s="1"/>
  <c r="E229" i="9" s="1"/>
  <c r="B227" i="9"/>
  <c r="C227" i="9" s="1"/>
  <c r="E227" i="9" s="1"/>
  <c r="B225" i="9"/>
  <c r="C225" i="9" s="1"/>
  <c r="E225" i="9" s="1"/>
  <c r="B223" i="9"/>
  <c r="C223" i="9" s="1"/>
  <c r="D223" i="9" s="1"/>
  <c r="B221" i="9"/>
  <c r="C221" i="9" s="1"/>
  <c r="E221" i="9" s="1"/>
  <c r="B219" i="9"/>
  <c r="C219" i="9" s="1"/>
  <c r="D219" i="9" s="1"/>
  <c r="B217" i="9"/>
  <c r="C217" i="9" s="1"/>
  <c r="D217" i="9" s="1"/>
  <c r="B215" i="9"/>
  <c r="C215" i="9" s="1"/>
  <c r="D215" i="9" s="1"/>
  <c r="B213" i="9"/>
  <c r="C213" i="9" s="1"/>
  <c r="E213" i="9" s="1"/>
  <c r="B211" i="9"/>
  <c r="C211" i="9" s="1"/>
  <c r="E211" i="9" s="1"/>
  <c r="B209" i="9"/>
  <c r="C209" i="9" s="1"/>
  <c r="D209" i="9" s="1"/>
  <c r="B207" i="9"/>
  <c r="C207" i="9" s="1"/>
  <c r="E207" i="9" s="1"/>
  <c r="B205" i="9"/>
  <c r="C205" i="9" s="1"/>
  <c r="D205" i="9" s="1"/>
  <c r="B203" i="9"/>
  <c r="C203" i="9" s="1"/>
  <c r="E203" i="9" s="1"/>
  <c r="B201" i="9"/>
  <c r="C201" i="9" s="1"/>
  <c r="E201" i="9" s="1"/>
  <c r="B199" i="9"/>
  <c r="C199" i="9" s="1"/>
  <c r="E199" i="9" s="1"/>
  <c r="B197" i="9"/>
  <c r="C197" i="9" s="1"/>
  <c r="E197" i="9" s="1"/>
  <c r="B195" i="9"/>
  <c r="C195" i="9" s="1"/>
  <c r="E195" i="9" s="1"/>
  <c r="B193" i="9"/>
  <c r="C193" i="9" s="1"/>
  <c r="E193" i="9" s="1"/>
  <c r="B191" i="9"/>
  <c r="C191" i="9" s="1"/>
  <c r="D191" i="9" s="1"/>
  <c r="B189" i="9"/>
  <c r="C189" i="9" s="1"/>
  <c r="D189" i="9" s="1"/>
  <c r="B187" i="9"/>
  <c r="C187" i="9" s="1"/>
  <c r="D187" i="9" s="1"/>
  <c r="B185" i="9"/>
  <c r="C185" i="9" s="1"/>
  <c r="D185" i="9" s="1"/>
  <c r="B183" i="9"/>
  <c r="C183" i="9" s="1"/>
  <c r="D183" i="9" s="1"/>
  <c r="B181" i="9"/>
  <c r="C181" i="9" s="1"/>
  <c r="D181" i="9" s="1"/>
  <c r="B179" i="9"/>
  <c r="C179" i="9" s="1"/>
  <c r="D179" i="9" s="1"/>
  <c r="B177" i="9"/>
  <c r="C177" i="9" s="1"/>
  <c r="E177" i="9" s="1"/>
  <c r="B314" i="9"/>
  <c r="C314" i="9" s="1"/>
  <c r="E314" i="9" s="1"/>
  <c r="B298" i="9"/>
  <c r="C298" i="9" s="1"/>
  <c r="E298" i="9" s="1"/>
  <c r="B282" i="9"/>
  <c r="C282" i="9" s="1"/>
  <c r="E282" i="9" s="1"/>
  <c r="B316" i="9"/>
  <c r="C316" i="9" s="1"/>
  <c r="E316" i="9" s="1"/>
  <c r="B300" i="9"/>
  <c r="C300" i="9" s="1"/>
  <c r="D300" i="9" s="1"/>
  <c r="B284" i="9"/>
  <c r="C284" i="9" s="1"/>
  <c r="D284" i="9" s="1"/>
  <c r="B268" i="9"/>
  <c r="C268" i="9" s="1"/>
  <c r="D268" i="9" s="1"/>
  <c r="B252" i="9"/>
  <c r="C252" i="9" s="1"/>
  <c r="D252" i="9" s="1"/>
  <c r="B236" i="9"/>
  <c r="C236" i="9" s="1"/>
  <c r="E236" i="9" s="1"/>
  <c r="B220" i="9"/>
  <c r="C220" i="9" s="1"/>
  <c r="D220" i="9" s="1"/>
  <c r="B204" i="9"/>
  <c r="C204" i="9" s="1"/>
  <c r="E204" i="9" s="1"/>
  <c r="B188" i="9"/>
  <c r="C188" i="9" s="1"/>
  <c r="E188" i="9" s="1"/>
  <c r="B170" i="9"/>
  <c r="C170" i="9" s="1"/>
  <c r="E170" i="9" s="1"/>
  <c r="B163" i="9"/>
  <c r="C163" i="9" s="1"/>
  <c r="D163" i="9" s="1"/>
  <c r="B154" i="9"/>
  <c r="C154" i="9" s="1"/>
  <c r="E154" i="9" s="1"/>
  <c r="B318" i="9"/>
  <c r="C318" i="9" s="1"/>
  <c r="D318" i="9" s="1"/>
  <c r="B302" i="9"/>
  <c r="C302" i="9" s="1"/>
  <c r="E302" i="9" s="1"/>
  <c r="B286" i="9"/>
  <c r="C286" i="9" s="1"/>
  <c r="D286" i="9" s="1"/>
  <c r="B306" i="9"/>
  <c r="C306" i="9" s="1"/>
  <c r="E306" i="9" s="1"/>
  <c r="B290" i="9"/>
  <c r="C290" i="9" s="1"/>
  <c r="D290" i="9" s="1"/>
  <c r="B274" i="9"/>
  <c r="C274" i="9" s="1"/>
  <c r="E274" i="9" s="1"/>
  <c r="B258" i="9"/>
  <c r="C258" i="9" s="1"/>
  <c r="D258" i="9" s="1"/>
  <c r="B242" i="9"/>
  <c r="C242" i="9" s="1"/>
  <c r="E242" i="9" s="1"/>
  <c r="B226" i="9"/>
  <c r="C226" i="9" s="1"/>
  <c r="D226" i="9" s="1"/>
  <c r="B210" i="9"/>
  <c r="C210" i="9" s="1"/>
  <c r="E210" i="9" s="1"/>
  <c r="B194" i="9"/>
  <c r="C194" i="9" s="1"/>
  <c r="D194" i="9" s="1"/>
  <c r="B178" i="9"/>
  <c r="C178" i="9" s="1"/>
  <c r="E178" i="9" s="1"/>
  <c r="B169" i="9"/>
  <c r="C169" i="9" s="1"/>
  <c r="E169" i="9" s="1"/>
  <c r="B160" i="9"/>
  <c r="C160" i="9" s="1"/>
  <c r="E160" i="9" s="1"/>
  <c r="B153" i="9"/>
  <c r="C153" i="9" s="1"/>
  <c r="E153" i="9" s="1"/>
  <c r="B308" i="9"/>
  <c r="C308" i="9" s="1"/>
  <c r="E308" i="9" s="1"/>
  <c r="B292" i="9"/>
  <c r="C292" i="9" s="1"/>
  <c r="E292" i="9" s="1"/>
  <c r="B276" i="9"/>
  <c r="C276" i="9" s="1"/>
  <c r="D276" i="9" s="1"/>
  <c r="B260" i="9"/>
  <c r="C260" i="9" s="1"/>
  <c r="D260" i="9" s="1"/>
  <c r="B244" i="9"/>
  <c r="C244" i="9" s="1"/>
  <c r="D244" i="9" s="1"/>
  <c r="B228" i="9"/>
  <c r="C228" i="9" s="1"/>
  <c r="E228" i="9" s="1"/>
  <c r="B212" i="9"/>
  <c r="C212" i="9" s="1"/>
  <c r="E212" i="9" s="1"/>
  <c r="B196" i="9"/>
  <c r="C196" i="9" s="1"/>
  <c r="E196" i="9" s="1"/>
  <c r="B180" i="9"/>
  <c r="C180" i="9" s="1"/>
  <c r="D180" i="9" s="1"/>
  <c r="B171" i="9"/>
  <c r="C171" i="9" s="1"/>
  <c r="E171" i="9" s="1"/>
  <c r="B162" i="9"/>
  <c r="C162" i="9" s="1"/>
  <c r="D162" i="9" s="1"/>
  <c r="B155" i="9"/>
  <c r="C155" i="9" s="1"/>
  <c r="E155" i="9" s="1"/>
  <c r="B294" i="9"/>
  <c r="C294" i="9" s="1"/>
  <c r="E294" i="9" s="1"/>
  <c r="B288" i="9"/>
  <c r="C288" i="9" s="1"/>
  <c r="E288" i="9" s="1"/>
  <c r="B256" i="9"/>
  <c r="C256" i="9" s="1"/>
  <c r="E256" i="9" s="1"/>
  <c r="B234" i="9"/>
  <c r="C234" i="9" s="1"/>
  <c r="E234" i="9" s="1"/>
  <c r="B230" i="9"/>
  <c r="C230" i="9" s="1"/>
  <c r="D230" i="9" s="1"/>
  <c r="B190" i="9"/>
  <c r="C190" i="9" s="1"/>
  <c r="E190" i="9" s="1"/>
  <c r="B312" i="9"/>
  <c r="C312" i="9" s="1"/>
  <c r="E312" i="9" s="1"/>
  <c r="B270" i="9"/>
  <c r="C270" i="9" s="1"/>
  <c r="E270" i="9" s="1"/>
  <c r="B248" i="9"/>
  <c r="C248" i="9" s="1"/>
  <c r="E248" i="9" s="1"/>
  <c r="B208" i="9"/>
  <c r="C208" i="9" s="1"/>
  <c r="D208" i="9" s="1"/>
  <c r="B266" i="9"/>
  <c r="C266" i="9" s="1"/>
  <c r="E266" i="9" s="1"/>
  <c r="B262" i="9"/>
  <c r="C262" i="9" s="1"/>
  <c r="D262" i="9" s="1"/>
  <c r="B222" i="9"/>
  <c r="C222" i="9" s="1"/>
  <c r="E222" i="9" s="1"/>
  <c r="B200" i="9"/>
  <c r="C200" i="9" s="1"/>
  <c r="D200" i="9" s="1"/>
  <c r="B310" i="9"/>
  <c r="C310" i="9" s="1"/>
  <c r="D310" i="9" s="1"/>
  <c r="B304" i="9"/>
  <c r="C304" i="9" s="1"/>
  <c r="D304" i="9" s="1"/>
  <c r="B280" i="9"/>
  <c r="C280" i="9" s="1"/>
  <c r="E280" i="9" s="1"/>
  <c r="B240" i="9"/>
  <c r="C240" i="9" s="1"/>
  <c r="B218" i="9"/>
  <c r="C218" i="9" s="1"/>
  <c r="E218" i="9" s="1"/>
  <c r="B214" i="9"/>
  <c r="C214" i="9" s="1"/>
  <c r="D214" i="9" s="1"/>
  <c r="B167" i="9"/>
  <c r="C167" i="9" s="1"/>
  <c r="D167" i="9" s="1"/>
  <c r="B156" i="9"/>
  <c r="C156" i="9" s="1"/>
  <c r="D156" i="9" s="1"/>
  <c r="B142" i="9"/>
  <c r="C142" i="9" s="1"/>
  <c r="D142" i="9" s="1"/>
  <c r="B134" i="9"/>
  <c r="C134" i="9" s="1"/>
  <c r="E134" i="9" s="1"/>
  <c r="B254" i="9"/>
  <c r="C254" i="9" s="1"/>
  <c r="E254" i="9" s="1"/>
  <c r="B232" i="9"/>
  <c r="C232" i="9" s="1"/>
  <c r="D232" i="9" s="1"/>
  <c r="B192" i="9"/>
  <c r="C192" i="9" s="1"/>
  <c r="D192" i="9" s="1"/>
  <c r="B174" i="9"/>
  <c r="C174" i="9" s="1"/>
  <c r="E174" i="9" s="1"/>
  <c r="B278" i="9"/>
  <c r="C278" i="9" s="1"/>
  <c r="D278" i="9" s="1"/>
  <c r="B250" i="9"/>
  <c r="C250" i="9" s="1"/>
  <c r="D250" i="9" s="1"/>
  <c r="B246" i="9"/>
  <c r="C246" i="9" s="1"/>
  <c r="D246" i="9" s="1"/>
  <c r="B206" i="9"/>
  <c r="C206" i="9" s="1"/>
  <c r="D206" i="9" s="1"/>
  <c r="B184" i="9"/>
  <c r="C184" i="9" s="1"/>
  <c r="E184" i="9" s="1"/>
  <c r="B173" i="9"/>
  <c r="C173" i="9" s="1"/>
  <c r="D173" i="9" s="1"/>
  <c r="B166" i="9"/>
  <c r="C166" i="9" s="1"/>
  <c r="D166" i="9" s="1"/>
  <c r="B136" i="9"/>
  <c r="C136" i="9" s="1"/>
  <c r="D136" i="9" s="1"/>
  <c r="B128" i="9"/>
  <c r="C128" i="9" s="1"/>
  <c r="D128" i="9" s="1"/>
  <c r="B126" i="9"/>
  <c r="C126" i="9" s="1"/>
  <c r="E126" i="9" s="1"/>
  <c r="B124" i="9"/>
  <c r="C124" i="9" s="1"/>
  <c r="D124" i="9" s="1"/>
  <c r="B122" i="9"/>
  <c r="C122" i="9" s="1"/>
  <c r="D122" i="9" s="1"/>
  <c r="B120" i="9"/>
  <c r="C120" i="9" s="1"/>
  <c r="D120" i="9" s="1"/>
  <c r="B118" i="9"/>
  <c r="C118" i="9" s="1"/>
  <c r="D118" i="9" s="1"/>
  <c r="B116" i="9"/>
  <c r="C116" i="9" s="1"/>
  <c r="D116" i="9" s="1"/>
  <c r="B114" i="9"/>
  <c r="C114" i="9" s="1"/>
  <c r="E114" i="9" s="1"/>
  <c r="B112" i="9"/>
  <c r="C112" i="9" s="1"/>
  <c r="E112" i="9" s="1"/>
  <c r="B110" i="9"/>
  <c r="C110" i="9" s="1"/>
  <c r="E110" i="9" s="1"/>
  <c r="B108" i="9"/>
  <c r="C108" i="9" s="1"/>
  <c r="D108" i="9" s="1"/>
  <c r="B106" i="9"/>
  <c r="C106" i="9" s="1"/>
  <c r="D106" i="9" s="1"/>
  <c r="B104" i="9"/>
  <c r="C104" i="9" s="1"/>
  <c r="E104" i="9" s="1"/>
  <c r="B102" i="9"/>
  <c r="C102" i="9" s="1"/>
  <c r="D102" i="9" s="1"/>
  <c r="B100" i="9"/>
  <c r="C100" i="9" s="1"/>
  <c r="E100" i="9" s="1"/>
  <c r="B98" i="9"/>
  <c r="C98" i="9" s="1"/>
  <c r="E98" i="9" s="1"/>
  <c r="B96" i="9"/>
  <c r="C96" i="9" s="1"/>
  <c r="E96" i="9" s="1"/>
  <c r="B94" i="9"/>
  <c r="C94" i="9" s="1"/>
  <c r="D94" i="9" s="1"/>
  <c r="B92" i="9"/>
  <c r="C92" i="9" s="1"/>
  <c r="D92" i="9" s="1"/>
  <c r="B90" i="9"/>
  <c r="C90" i="9" s="1"/>
  <c r="D90" i="9" s="1"/>
  <c r="B88" i="9"/>
  <c r="C88" i="9" s="1"/>
  <c r="D88" i="9" s="1"/>
  <c r="B86" i="9"/>
  <c r="C86" i="9" s="1"/>
  <c r="E86" i="9" s="1"/>
  <c r="B84" i="9"/>
  <c r="C84" i="9" s="1"/>
  <c r="E84" i="9" s="1"/>
  <c r="B82" i="9"/>
  <c r="C82" i="9" s="1"/>
  <c r="E82" i="9" s="1"/>
  <c r="B80" i="9"/>
  <c r="C80" i="9" s="1"/>
  <c r="D80" i="9" s="1"/>
  <c r="B296" i="9"/>
  <c r="C296" i="9" s="1"/>
  <c r="D296" i="9" s="1"/>
  <c r="B272" i="9"/>
  <c r="C272" i="9" s="1"/>
  <c r="D272" i="9" s="1"/>
  <c r="B264" i="9"/>
  <c r="C264" i="9" s="1"/>
  <c r="D264" i="9" s="1"/>
  <c r="B224" i="9"/>
  <c r="C224" i="9" s="1"/>
  <c r="D224" i="9" s="1"/>
  <c r="B202" i="9"/>
  <c r="C202" i="9" s="1"/>
  <c r="E202" i="9" s="1"/>
  <c r="B198" i="9"/>
  <c r="C198" i="9" s="1"/>
  <c r="D198" i="9" s="1"/>
  <c r="B151" i="9"/>
  <c r="C151" i="9" s="1"/>
  <c r="E151" i="9" s="1"/>
  <c r="B144" i="9"/>
  <c r="C144" i="9" s="1"/>
  <c r="D144" i="9" s="1"/>
  <c r="B141" i="9"/>
  <c r="C141" i="9" s="1"/>
  <c r="E141" i="9" s="1"/>
  <c r="B133" i="9"/>
  <c r="C133" i="9" s="1"/>
  <c r="D133" i="9" s="1"/>
  <c r="B238" i="9"/>
  <c r="C238" i="9" s="1"/>
  <c r="E238" i="9" s="1"/>
  <c r="B159" i="9"/>
  <c r="C159" i="9" s="1"/>
  <c r="D159" i="9" s="1"/>
  <c r="B147" i="9"/>
  <c r="C147" i="9" s="1"/>
  <c r="D147" i="9" s="1"/>
  <c r="B113" i="9"/>
  <c r="C113" i="9" s="1"/>
  <c r="E113" i="9" s="1"/>
  <c r="B97" i="9"/>
  <c r="C97" i="9" s="1"/>
  <c r="E97" i="9" s="1"/>
  <c r="B81" i="9"/>
  <c r="C81" i="9" s="1"/>
  <c r="E81" i="9" s="1"/>
  <c r="B78" i="9"/>
  <c r="C78" i="9" s="1"/>
  <c r="D78" i="9" s="1"/>
  <c r="B70" i="9"/>
  <c r="C70" i="9" s="1"/>
  <c r="E70" i="9" s="1"/>
  <c r="B62" i="9"/>
  <c r="C62" i="9" s="1"/>
  <c r="E62" i="9" s="1"/>
  <c r="B164" i="9"/>
  <c r="C164" i="9" s="1"/>
  <c r="E164" i="9" s="1"/>
  <c r="B158" i="9"/>
  <c r="C158" i="9" s="1"/>
  <c r="E158" i="9" s="1"/>
  <c r="B129" i="9"/>
  <c r="C129" i="9" s="1"/>
  <c r="D129" i="9" s="1"/>
  <c r="B119" i="9"/>
  <c r="C119" i="9" s="1"/>
  <c r="D119" i="9" s="1"/>
  <c r="B103" i="9"/>
  <c r="C103" i="9" s="1"/>
  <c r="D103" i="9" s="1"/>
  <c r="B87" i="9"/>
  <c r="C87" i="9" s="1"/>
  <c r="D87" i="9" s="1"/>
  <c r="B75" i="9"/>
  <c r="C75" i="9" s="1"/>
  <c r="E75" i="9" s="1"/>
  <c r="B67" i="9"/>
  <c r="C67" i="9" s="1"/>
  <c r="D67" i="9" s="1"/>
  <c r="B59" i="9"/>
  <c r="C59" i="9" s="1"/>
  <c r="E59" i="9" s="1"/>
  <c r="B54" i="9"/>
  <c r="C54" i="9" s="1"/>
  <c r="E54" i="9" s="1"/>
  <c r="B52" i="9"/>
  <c r="C52" i="9" s="1"/>
  <c r="E52" i="9" s="1"/>
  <c r="B50" i="9"/>
  <c r="C50" i="9" s="1"/>
  <c r="E50" i="9" s="1"/>
  <c r="B48" i="9"/>
  <c r="C48" i="9" s="1"/>
  <c r="D48" i="9" s="1"/>
  <c r="B46" i="9"/>
  <c r="C46" i="9" s="1"/>
  <c r="E46" i="9" s="1"/>
  <c r="B186" i="9"/>
  <c r="C186" i="9" s="1"/>
  <c r="D186" i="9" s="1"/>
  <c r="B157" i="9"/>
  <c r="C157" i="9" s="1"/>
  <c r="E157" i="9" s="1"/>
  <c r="B152" i="9"/>
  <c r="C152" i="9" s="1"/>
  <c r="D152" i="9" s="1"/>
  <c r="B146" i="9"/>
  <c r="C146" i="9" s="1"/>
  <c r="D146" i="9" s="1"/>
  <c r="B137" i="9"/>
  <c r="C137" i="9" s="1"/>
  <c r="E137" i="9" s="1"/>
  <c r="B125" i="9"/>
  <c r="C125" i="9" s="1"/>
  <c r="D125" i="9" s="1"/>
  <c r="B109" i="9"/>
  <c r="C109" i="9" s="1"/>
  <c r="E109" i="9" s="1"/>
  <c r="B93" i="9"/>
  <c r="C93" i="9" s="1"/>
  <c r="E93" i="9" s="1"/>
  <c r="B72" i="9"/>
  <c r="C72" i="9" s="1"/>
  <c r="D72" i="9" s="1"/>
  <c r="B64" i="9"/>
  <c r="C64" i="9" s="1"/>
  <c r="E64" i="9" s="1"/>
  <c r="B56" i="9"/>
  <c r="C56" i="9" s="1"/>
  <c r="E56" i="9" s="1"/>
  <c r="B175" i="9"/>
  <c r="C175" i="9" s="1"/>
  <c r="D175" i="9" s="1"/>
  <c r="B132" i="9"/>
  <c r="C132" i="9" s="1"/>
  <c r="E132" i="9" s="1"/>
  <c r="B115" i="9"/>
  <c r="C115" i="9" s="1"/>
  <c r="D115" i="9" s="1"/>
  <c r="B99" i="9"/>
  <c r="C99" i="9" s="1"/>
  <c r="D99" i="9" s="1"/>
  <c r="B83" i="9"/>
  <c r="C83" i="9" s="1"/>
  <c r="E83" i="9" s="1"/>
  <c r="B77" i="9"/>
  <c r="C77" i="9" s="1"/>
  <c r="E77" i="9" s="1"/>
  <c r="B69" i="9"/>
  <c r="C69" i="9" s="1"/>
  <c r="D69" i="9" s="1"/>
  <c r="B61" i="9"/>
  <c r="C61" i="9" s="1"/>
  <c r="D61" i="9" s="1"/>
  <c r="B40" i="9"/>
  <c r="C40" i="9" s="1"/>
  <c r="D40" i="9" s="1"/>
  <c r="B39" i="9"/>
  <c r="C39" i="9" s="1"/>
  <c r="E39" i="9" s="1"/>
  <c r="B38" i="9"/>
  <c r="C38" i="9" s="1"/>
  <c r="D38" i="9" s="1"/>
  <c r="B33" i="9"/>
  <c r="C33" i="9" s="1"/>
  <c r="E33" i="9" s="1"/>
  <c r="B31" i="9"/>
  <c r="C31" i="9" s="1"/>
  <c r="E31" i="9" s="1"/>
  <c r="B29" i="9"/>
  <c r="C29" i="9" s="1"/>
  <c r="E29" i="9" s="1"/>
  <c r="B74" i="9"/>
  <c r="C74" i="9" s="1"/>
  <c r="D74" i="9" s="1"/>
  <c r="B168" i="9"/>
  <c r="C168" i="9" s="1"/>
  <c r="E168" i="9" s="1"/>
  <c r="B150" i="9"/>
  <c r="C150" i="9" s="1"/>
  <c r="D150" i="9" s="1"/>
  <c r="B145" i="9"/>
  <c r="C145" i="9" s="1"/>
  <c r="D145" i="9" s="1"/>
  <c r="B140" i="9"/>
  <c r="C140" i="9" s="1"/>
  <c r="E140" i="9" s="1"/>
  <c r="B121" i="9"/>
  <c r="C121" i="9" s="1"/>
  <c r="D121" i="9" s="1"/>
  <c r="B105" i="9"/>
  <c r="C105" i="9" s="1"/>
  <c r="E105" i="9" s="1"/>
  <c r="B89" i="9"/>
  <c r="C89" i="9" s="1"/>
  <c r="E89" i="9" s="1"/>
  <c r="B66" i="9"/>
  <c r="C66" i="9" s="1"/>
  <c r="E66" i="9" s="1"/>
  <c r="B58" i="9"/>
  <c r="C58" i="9" s="1"/>
  <c r="D58" i="9" s="1"/>
  <c r="B182" i="9"/>
  <c r="C182" i="9" s="1"/>
  <c r="D182" i="9" s="1"/>
  <c r="B161" i="9"/>
  <c r="C161" i="9" s="1"/>
  <c r="D161" i="9" s="1"/>
  <c r="B135" i="9"/>
  <c r="C135" i="9" s="1"/>
  <c r="D135" i="9" s="1"/>
  <c r="B131" i="9"/>
  <c r="C131" i="9" s="1"/>
  <c r="D131" i="9" s="1"/>
  <c r="B127" i="9"/>
  <c r="C127" i="9" s="1"/>
  <c r="E127" i="9" s="1"/>
  <c r="B111" i="9"/>
  <c r="C111" i="9" s="1"/>
  <c r="E111" i="9" s="1"/>
  <c r="B95" i="9"/>
  <c r="C95" i="9" s="1"/>
  <c r="E95" i="9" s="1"/>
  <c r="B79" i="9"/>
  <c r="C79" i="9" s="1"/>
  <c r="E79" i="9" s="1"/>
  <c r="B71" i="9"/>
  <c r="C71" i="9" s="1"/>
  <c r="D71" i="9" s="1"/>
  <c r="B63" i="9"/>
  <c r="C63" i="9" s="1"/>
  <c r="E63" i="9" s="1"/>
  <c r="B55" i="9"/>
  <c r="C55" i="9" s="1"/>
  <c r="D55" i="9" s="1"/>
  <c r="B53" i="9"/>
  <c r="C53" i="9" s="1"/>
  <c r="D53" i="9" s="1"/>
  <c r="B51" i="9"/>
  <c r="C51" i="9" s="1"/>
  <c r="D51" i="9" s="1"/>
  <c r="B49" i="9"/>
  <c r="C49" i="9" s="1"/>
  <c r="E49" i="9" s="1"/>
  <c r="B47" i="9"/>
  <c r="C47" i="9" s="1"/>
  <c r="D47" i="9" s="1"/>
  <c r="B45" i="9"/>
  <c r="C45" i="9" s="1"/>
  <c r="E45" i="9" s="1"/>
  <c r="B43" i="9"/>
  <c r="C43" i="9" s="1"/>
  <c r="D43" i="9" s="1"/>
  <c r="B27" i="9"/>
  <c r="C27" i="9" s="1"/>
  <c r="D27" i="9" s="1"/>
  <c r="B26" i="9"/>
  <c r="C26" i="9" s="1"/>
  <c r="D26" i="9" s="1"/>
  <c r="B25" i="9"/>
  <c r="C25" i="9" s="1"/>
  <c r="E25" i="9" s="1"/>
  <c r="B24" i="9"/>
  <c r="C24" i="9" s="1"/>
  <c r="E24" i="9" s="1"/>
  <c r="B23" i="9"/>
  <c r="C23" i="9" s="1"/>
  <c r="E23" i="9" s="1"/>
  <c r="B18" i="9"/>
  <c r="C18" i="9" s="1"/>
  <c r="E18" i="9" s="1"/>
  <c r="B143" i="9"/>
  <c r="C143" i="9" s="1"/>
  <c r="E143" i="9" s="1"/>
  <c r="B107" i="9"/>
  <c r="C107" i="9" s="1"/>
  <c r="E107" i="9" s="1"/>
  <c r="B91" i="9"/>
  <c r="C91" i="9" s="1"/>
  <c r="D91" i="9" s="1"/>
  <c r="B65" i="9"/>
  <c r="C65" i="9" s="1"/>
  <c r="E65" i="9" s="1"/>
  <c r="B30" i="9"/>
  <c r="C30" i="9" s="1"/>
  <c r="D30" i="9" s="1"/>
  <c r="B216" i="9"/>
  <c r="C216" i="9" s="1"/>
  <c r="E216" i="9" s="1"/>
  <c r="B172" i="9"/>
  <c r="C172" i="9" s="1"/>
  <c r="E172" i="9" s="1"/>
  <c r="B149" i="9"/>
  <c r="C149" i="9" s="1"/>
  <c r="D149" i="9" s="1"/>
  <c r="B139" i="9"/>
  <c r="C139" i="9" s="1"/>
  <c r="D139" i="9" s="1"/>
  <c r="B130" i="9"/>
  <c r="C130" i="9" s="1"/>
  <c r="D130" i="9" s="1"/>
  <c r="B117" i="9"/>
  <c r="C117" i="9" s="1"/>
  <c r="E117" i="9" s="1"/>
  <c r="B101" i="9"/>
  <c r="C101" i="9" s="1"/>
  <c r="D101" i="9" s="1"/>
  <c r="B85" i="9"/>
  <c r="C85" i="9" s="1"/>
  <c r="D85" i="9" s="1"/>
  <c r="B76" i="9"/>
  <c r="C76" i="9" s="1"/>
  <c r="D76" i="9" s="1"/>
  <c r="B68" i="9"/>
  <c r="C68" i="9" s="1"/>
  <c r="D68" i="9" s="1"/>
  <c r="B60" i="9"/>
  <c r="C60" i="9" s="1"/>
  <c r="D60" i="9" s="1"/>
  <c r="B41" i="9"/>
  <c r="C41" i="9" s="1"/>
  <c r="E41" i="9" s="1"/>
  <c r="B34" i="9"/>
  <c r="C34" i="9" s="1"/>
  <c r="E34" i="9" s="1"/>
  <c r="B20" i="9"/>
  <c r="C20" i="9" s="1"/>
  <c r="D20" i="9" s="1"/>
  <c r="B165" i="9"/>
  <c r="C165" i="9" s="1"/>
  <c r="E165" i="9" s="1"/>
  <c r="B148" i="9"/>
  <c r="C148" i="9" s="1"/>
  <c r="D148" i="9" s="1"/>
  <c r="B138" i="9"/>
  <c r="C138" i="9" s="1"/>
  <c r="E138" i="9" s="1"/>
  <c r="B123" i="9"/>
  <c r="C123" i="9" s="1"/>
  <c r="E123" i="9" s="1"/>
  <c r="B73" i="9"/>
  <c r="C73" i="9" s="1"/>
  <c r="D73" i="9" s="1"/>
  <c r="B57" i="9"/>
  <c r="C57" i="9" s="1"/>
  <c r="E57" i="9" s="1"/>
  <c r="B32" i="9"/>
  <c r="C32" i="9" s="1"/>
  <c r="D32" i="9" s="1"/>
  <c r="B21" i="9"/>
  <c r="C21" i="9" s="1"/>
  <c r="E21" i="9" s="1"/>
  <c r="D33" i="9"/>
  <c r="B42" i="9"/>
  <c r="C42" i="9" s="1"/>
  <c r="D42" i="9" s="1"/>
  <c r="D15" i="9" l="1"/>
  <c r="E15" i="9"/>
  <c r="E17" i="9"/>
  <c r="D18" i="9"/>
  <c r="E19" i="9"/>
  <c r="D28" i="9"/>
  <c r="I17" i="9"/>
  <c r="J17" i="9" s="1"/>
  <c r="E26" i="9"/>
  <c r="E37" i="9"/>
  <c r="D66" i="9"/>
  <c r="D222" i="9"/>
  <c r="D165" i="9"/>
  <c r="E245" i="9"/>
  <c r="D280" i="9"/>
  <c r="E142" i="9"/>
  <c r="D176" i="9"/>
  <c r="D241" i="9"/>
  <c r="D57" i="9"/>
  <c r="E51" i="9"/>
  <c r="E55" i="9"/>
  <c r="D289" i="9"/>
  <c r="D82" i="9"/>
  <c r="D275" i="9"/>
  <c r="D312" i="9"/>
  <c r="E226" i="9"/>
  <c r="E156" i="9"/>
  <c r="E48" i="9"/>
  <c r="E219" i="9"/>
  <c r="D105" i="9"/>
  <c r="E71" i="9"/>
  <c r="E147" i="9"/>
  <c r="D98" i="9"/>
  <c r="D197" i="9"/>
  <c r="E191" i="9"/>
  <c r="E258" i="9"/>
  <c r="D39" i="9"/>
  <c r="E94" i="9"/>
  <c r="D282" i="9"/>
  <c r="D201" i="9"/>
  <c r="E87" i="9"/>
  <c r="E187" i="9"/>
  <c r="D114" i="9"/>
  <c r="E244" i="9"/>
  <c r="E223" i="9"/>
  <c r="E290" i="9"/>
  <c r="E181" i="9"/>
  <c r="E131" i="9"/>
  <c r="D83" i="9"/>
  <c r="E103" i="9"/>
  <c r="E180" i="9"/>
  <c r="E152" i="9"/>
  <c r="E255" i="9"/>
  <c r="E272" i="9"/>
  <c r="D190" i="9"/>
  <c r="E60" i="9"/>
  <c r="E146" i="9"/>
  <c r="E119" i="9"/>
  <c r="D228" i="9"/>
  <c r="D177" i="9"/>
  <c r="D184" i="9"/>
  <c r="E287" i="9"/>
  <c r="D54" i="9"/>
  <c r="D25" i="9"/>
  <c r="D291" i="9"/>
  <c r="D273" i="9"/>
  <c r="D216" i="9"/>
  <c r="D274" i="9"/>
  <c r="D95" i="9"/>
  <c r="D93" i="9"/>
  <c r="E309" i="9"/>
  <c r="D229" i="9"/>
  <c r="D248" i="9"/>
  <c r="D306" i="9"/>
  <c r="D49" i="9"/>
  <c r="E194" i="9"/>
  <c r="E30" i="9"/>
  <c r="D21" i="9"/>
  <c r="E189" i="9"/>
  <c r="E44" i="9"/>
  <c r="E78" i="9"/>
  <c r="D143" i="9"/>
  <c r="D46" i="9"/>
  <c r="D107" i="9"/>
  <c r="D172" i="9"/>
  <c r="E32" i="9"/>
  <c r="D23" i="9"/>
  <c r="D45" i="9"/>
  <c r="D79" i="9"/>
  <c r="D140" i="9"/>
  <c r="E47" i="9"/>
  <c r="D89" i="9"/>
  <c r="E163" i="9"/>
  <c r="D77" i="9"/>
  <c r="D137" i="9"/>
  <c r="E72" i="9"/>
  <c r="E133" i="9"/>
  <c r="E208" i="9"/>
  <c r="E67" i="9"/>
  <c r="E99" i="9"/>
  <c r="E115" i="9"/>
  <c r="E135" i="9"/>
  <c r="E179" i="9"/>
  <c r="D234" i="9"/>
  <c r="E277" i="9"/>
  <c r="D141" i="9"/>
  <c r="E176" i="9"/>
  <c r="E231" i="9"/>
  <c r="D308" i="9"/>
  <c r="E220" i="9"/>
  <c r="E278" i="9"/>
  <c r="D62" i="9"/>
  <c r="D110" i="9"/>
  <c r="D126" i="9"/>
  <c r="E206" i="9"/>
  <c r="D265" i="9"/>
  <c r="E214" i="9"/>
  <c r="D211" i="9"/>
  <c r="E251" i="9"/>
  <c r="E182" i="9"/>
  <c r="E318" i="9"/>
  <c r="E175" i="9"/>
  <c r="D207" i="9"/>
  <c r="D239" i="9"/>
  <c r="D271" i="9"/>
  <c r="D303" i="9"/>
  <c r="E150" i="9"/>
  <c r="D297" i="9"/>
  <c r="D158" i="9"/>
  <c r="E185" i="9"/>
  <c r="E217" i="9"/>
  <c r="E249" i="9"/>
  <c r="E281" i="9"/>
  <c r="E313" i="9"/>
  <c r="E295" i="9"/>
  <c r="D123" i="9"/>
  <c r="E304" i="9"/>
  <c r="E116" i="9"/>
  <c r="D212" i="9"/>
  <c r="D81" i="9"/>
  <c r="D160" i="9"/>
  <c r="D50" i="9"/>
  <c r="E120" i="9"/>
  <c r="E192" i="9"/>
  <c r="D117" i="9"/>
  <c r="D34" i="9"/>
  <c r="D24" i="9"/>
  <c r="E92" i="9"/>
  <c r="E145" i="9"/>
  <c r="E102" i="9"/>
  <c r="D168" i="9"/>
  <c r="E80" i="9"/>
  <c r="D36" i="9"/>
  <c r="E90" i="9"/>
  <c r="D267" i="9"/>
  <c r="E69" i="9"/>
  <c r="E85" i="9"/>
  <c r="E101" i="9"/>
  <c r="D138" i="9"/>
  <c r="E183" i="9"/>
  <c r="D238" i="9"/>
  <c r="D283" i="9"/>
  <c r="E144" i="9"/>
  <c r="D235" i="9"/>
  <c r="D314" i="9"/>
  <c r="E224" i="9"/>
  <c r="E284" i="9"/>
  <c r="D64" i="9"/>
  <c r="D96" i="9"/>
  <c r="D112" i="9"/>
  <c r="E128" i="9"/>
  <c r="D170" i="9"/>
  <c r="D210" i="9"/>
  <c r="E268" i="9"/>
  <c r="D225" i="9"/>
  <c r="E269" i="9"/>
  <c r="D218" i="9"/>
  <c r="E262" i="9"/>
  <c r="D193" i="9"/>
  <c r="E237" i="9"/>
  <c r="E209" i="9"/>
  <c r="E305" i="9"/>
  <c r="D155" i="9"/>
  <c r="D221" i="9"/>
  <c r="D253" i="9"/>
  <c r="D285" i="9"/>
  <c r="D317" i="9"/>
  <c r="E299" i="9"/>
  <c r="D256" i="9"/>
  <c r="D288" i="9"/>
  <c r="D270" i="9"/>
  <c r="D302" i="9"/>
  <c r="I34" i="9"/>
  <c r="I38" i="9" s="1"/>
  <c r="D52" i="9"/>
  <c r="E129" i="9"/>
  <c r="D16" i="9"/>
  <c r="D97" i="9"/>
  <c r="D59" i="9"/>
  <c r="D65" i="9"/>
  <c r="E139" i="9"/>
  <c r="E68" i="9"/>
  <c r="E108" i="9"/>
  <c r="E162" i="9"/>
  <c r="E53" i="9"/>
  <c r="E118" i="9"/>
  <c r="E230" i="9"/>
  <c r="E38" i="9"/>
  <c r="E106" i="9"/>
  <c r="D153" i="9"/>
  <c r="E73" i="9"/>
  <c r="E121" i="9"/>
  <c r="D154" i="9"/>
  <c r="E301" i="9"/>
  <c r="D151" i="9"/>
  <c r="E198" i="9"/>
  <c r="D242" i="9"/>
  <c r="D195" i="9"/>
  <c r="D84" i="9"/>
  <c r="D100" i="9"/>
  <c r="E136" i="9"/>
  <c r="D236" i="9"/>
  <c r="D292" i="9"/>
  <c r="E293" i="9"/>
  <c r="D204" i="9"/>
  <c r="D259" i="9"/>
  <c r="D157" i="9"/>
  <c r="E186" i="9"/>
  <c r="E250" i="9"/>
  <c r="D164" i="9"/>
  <c r="D294" i="9"/>
  <c r="E276" i="9"/>
  <c r="E167" i="9"/>
  <c r="D199" i="9"/>
  <c r="D263" i="9"/>
  <c r="E27" i="9"/>
  <c r="E43" i="9"/>
  <c r="D134" i="9"/>
  <c r="D75" i="9"/>
  <c r="D41" i="9"/>
  <c r="D111" i="9"/>
  <c r="E58" i="9"/>
  <c r="D109" i="9"/>
  <c r="E91" i="9"/>
  <c r="E161" i="9"/>
  <c r="E252" i="9"/>
  <c r="E307" i="9"/>
  <c r="D202" i="9"/>
  <c r="E246" i="9"/>
  <c r="D315" i="9"/>
  <c r="D70" i="9"/>
  <c r="D86" i="9"/>
  <c r="D188" i="9"/>
  <c r="D243" i="9"/>
  <c r="D298" i="9"/>
  <c r="D233" i="9"/>
  <c r="D266" i="9"/>
  <c r="E159" i="9"/>
  <c r="E166" i="9"/>
  <c r="E200" i="9"/>
  <c r="E232" i="9"/>
  <c r="E264" i="9"/>
  <c r="E296" i="9"/>
  <c r="D174" i="9"/>
  <c r="E279" i="9"/>
  <c r="E311" i="9"/>
  <c r="E286" i="9"/>
  <c r="D31" i="9"/>
  <c r="D22" i="9"/>
  <c r="D29" i="9"/>
  <c r="D113" i="9"/>
  <c r="E88" i="9"/>
  <c r="E149" i="9"/>
  <c r="E76" i="9"/>
  <c r="E124" i="9"/>
  <c r="E300" i="9"/>
  <c r="E40" i="9"/>
  <c r="E122" i="9"/>
  <c r="E61" i="9"/>
  <c r="E125" i="9"/>
  <c r="E205" i="9"/>
  <c r="E130" i="9"/>
  <c r="D213" i="9"/>
  <c r="E260" i="9"/>
  <c r="D257" i="9"/>
  <c r="D56" i="9"/>
  <c r="D104" i="9"/>
  <c r="D316" i="9"/>
  <c r="E247" i="9"/>
  <c r="E310" i="9"/>
  <c r="E215" i="9"/>
  <c r="D171" i="9"/>
  <c r="D240" i="9"/>
  <c r="E35" i="9"/>
  <c r="D63" i="9"/>
  <c r="D127" i="9"/>
  <c r="E74" i="9"/>
  <c r="D132" i="9"/>
  <c r="D178" i="9"/>
  <c r="D169" i="9"/>
  <c r="D261" i="9"/>
  <c r="E148" i="9"/>
  <c r="D254" i="9"/>
  <c r="D196" i="9"/>
  <c r="E240" i="9"/>
  <c r="E173" i="9"/>
  <c r="E42" i="9"/>
  <c r="E20" i="9"/>
  <c r="D227" i="9"/>
  <c r="D203" i="9"/>
  <c r="I40" i="9" l="1"/>
  <c r="I22" i="9"/>
  <c r="I27" i="9"/>
  <c r="I28" i="9" s="1"/>
  <c r="B21" i="10" s="1"/>
  <c r="M15" i="9"/>
  <c r="C12" i="9" s="1"/>
  <c r="B18" i="10" l="1"/>
  <c r="N17" i="9"/>
  <c r="I25" i="9"/>
  <c r="L22" i="9"/>
  <c r="M16" i="9"/>
  <c r="B19" i="10" s="1"/>
  <c r="N15" i="9"/>
  <c r="I23" i="9"/>
  <c r="B7" i="10" s="1"/>
  <c r="I41" i="9"/>
  <c r="L35" i="9" s="1"/>
  <c r="N16" i="9" l="1"/>
  <c r="L23" i="9"/>
  <c r="M35" i="9"/>
  <c r="L36" i="9"/>
  <c r="I24" i="9"/>
  <c r="B9" i="10" l="1"/>
  <c r="B10" i="10"/>
  <c r="B11" i="10" s="1"/>
  <c r="L24" i="9"/>
  <c r="B15" i="10" s="1"/>
  <c r="M22" i="9"/>
  <c r="O23" i="9"/>
  <c r="M23" i="9"/>
  <c r="O36" i="9"/>
  <c r="M36" i="9"/>
  <c r="L37" i="9"/>
  <c r="L25" i="9" l="1"/>
  <c r="B17" i="10" s="1"/>
  <c r="O37" i="9"/>
  <c r="M37" i="9"/>
  <c r="L38" i="9"/>
  <c r="O24" i="9"/>
  <c r="M24" i="9"/>
  <c r="O25" i="9" l="1"/>
  <c r="M25" i="9"/>
  <c r="L26" i="9"/>
  <c r="B16" i="10" s="1"/>
  <c r="O38" i="9"/>
  <c r="M38" i="9"/>
  <c r="L39" i="9"/>
  <c r="O39" i="9" l="1"/>
  <c r="M39" i="9"/>
  <c r="O26" i="9"/>
  <c r="M26" i="9"/>
  <c r="K3" i="8" l="1"/>
  <c r="I36" i="8"/>
  <c r="N9" i="8"/>
  <c r="O9" i="8" s="1"/>
  <c r="B19" i="12" s="1"/>
  <c r="N8" i="8"/>
  <c r="O8" i="8" s="1"/>
  <c r="B240" i="8"/>
  <c r="B18" i="12" l="1"/>
  <c r="N3" i="8"/>
  <c r="B15" i="8"/>
  <c r="C15" i="8" s="1"/>
  <c r="B3" i="7"/>
  <c r="B1" i="7"/>
  <c r="B7" i="8"/>
  <c r="I35" i="8"/>
  <c r="I20" i="8"/>
  <c r="B6" i="12" s="1"/>
  <c r="E10" i="8"/>
  <c r="B12" i="8" s="1"/>
  <c r="C10" i="8"/>
  <c r="B245" i="8"/>
  <c r="C245" i="8" s="1"/>
  <c r="C1" i="8"/>
  <c r="D15" i="8" l="1"/>
  <c r="E15" i="8"/>
  <c r="E5" i="7"/>
  <c r="E1" i="7"/>
  <c r="B39" i="8"/>
  <c r="C39" i="8" s="1"/>
  <c r="E39" i="8" s="1"/>
  <c r="I13" i="8"/>
  <c r="J13" i="8" s="1"/>
  <c r="B19" i="8"/>
  <c r="C19" i="8" s="1"/>
  <c r="E19" i="8" s="1"/>
  <c r="B131" i="8"/>
  <c r="C131" i="8" s="1"/>
  <c r="E131" i="8" s="1"/>
  <c r="B16" i="8"/>
  <c r="C16" i="8" s="1"/>
  <c r="E16" i="8" s="1"/>
  <c r="B20" i="8"/>
  <c r="C20" i="8" s="1"/>
  <c r="E20" i="8" s="1"/>
  <c r="B38" i="8"/>
  <c r="C38" i="8" s="1"/>
  <c r="D38" i="8" s="1"/>
  <c r="B135" i="8"/>
  <c r="C135" i="8" s="1"/>
  <c r="E135" i="8" s="1"/>
  <c r="B17" i="8"/>
  <c r="C17" i="8" s="1"/>
  <c r="E17" i="8" s="1"/>
  <c r="B18" i="8"/>
  <c r="C18" i="8" s="1"/>
  <c r="D18" i="8" s="1"/>
  <c r="B28" i="8"/>
  <c r="C28" i="8" s="1"/>
  <c r="E28" i="8" s="1"/>
  <c r="B127" i="8"/>
  <c r="C127" i="8" s="1"/>
  <c r="D127" i="8" s="1"/>
  <c r="A176" i="8"/>
  <c r="B176" i="8" s="1"/>
  <c r="C176" i="8" s="1"/>
  <c r="E245" i="8"/>
  <c r="B204" i="8"/>
  <c r="C204" i="8" s="1"/>
  <c r="E204" i="8" s="1"/>
  <c r="B277" i="8"/>
  <c r="C277" i="8" s="1"/>
  <c r="I15" i="8"/>
  <c r="B29" i="8"/>
  <c r="C29" i="8" s="1"/>
  <c r="D29" i="8" s="1"/>
  <c r="B30" i="8"/>
  <c r="C30" i="8" s="1"/>
  <c r="B31" i="8"/>
  <c r="C31" i="8" s="1"/>
  <c r="B32" i="8"/>
  <c r="C32" i="8" s="1"/>
  <c r="E32" i="8" s="1"/>
  <c r="B33" i="8"/>
  <c r="C33" i="8" s="1"/>
  <c r="D33" i="8" s="1"/>
  <c r="I33" i="8"/>
  <c r="B35" i="8"/>
  <c r="C35" i="8" s="1"/>
  <c r="D35" i="8" s="1"/>
  <c r="B36" i="8"/>
  <c r="C36" i="8" s="1"/>
  <c r="E36" i="8" s="1"/>
  <c r="B37" i="8"/>
  <c r="C37" i="8" s="1"/>
  <c r="E37" i="8" s="1"/>
  <c r="B40" i="8"/>
  <c r="C40" i="8" s="1"/>
  <c r="D40" i="8" s="1"/>
  <c r="B126" i="8"/>
  <c r="C126" i="8" s="1"/>
  <c r="B130" i="8"/>
  <c r="C130" i="8" s="1"/>
  <c r="D130" i="8" s="1"/>
  <c r="B134" i="8"/>
  <c r="C134" i="8" s="1"/>
  <c r="D134" i="8" s="1"/>
  <c r="B137" i="8"/>
  <c r="C137" i="8" s="1"/>
  <c r="B139" i="8"/>
  <c r="C139" i="8" s="1"/>
  <c r="B198" i="8"/>
  <c r="C198" i="8" s="1"/>
  <c r="E198" i="8" s="1"/>
  <c r="B261" i="8"/>
  <c r="C261" i="8" s="1"/>
  <c r="E261" i="8" s="1"/>
  <c r="B22" i="8"/>
  <c r="C22" i="8" s="1"/>
  <c r="E22" i="8" s="1"/>
  <c r="B23" i="8"/>
  <c r="C23" i="8" s="1"/>
  <c r="D23" i="8" s="1"/>
  <c r="B24" i="8"/>
  <c r="C24" i="8" s="1"/>
  <c r="E24" i="8" s="1"/>
  <c r="B25" i="8"/>
  <c r="C25" i="8" s="1"/>
  <c r="E25" i="8" s="1"/>
  <c r="B26" i="8"/>
  <c r="C26" i="8" s="1"/>
  <c r="B34" i="8"/>
  <c r="C34" i="8" s="1"/>
  <c r="D34" i="8" s="1"/>
  <c r="B41" i="8"/>
  <c r="C41" i="8" s="1"/>
  <c r="E41" i="8" s="1"/>
  <c r="B125" i="8"/>
  <c r="C125" i="8" s="1"/>
  <c r="E125" i="8" s="1"/>
  <c r="B129" i="8"/>
  <c r="C129" i="8" s="1"/>
  <c r="E129" i="8" s="1"/>
  <c r="B133" i="8"/>
  <c r="C133" i="8" s="1"/>
  <c r="D133" i="8" s="1"/>
  <c r="B200" i="8"/>
  <c r="C200" i="8" s="1"/>
  <c r="E200" i="8" s="1"/>
  <c r="B318" i="8"/>
  <c r="C318" i="8" s="1"/>
  <c r="B314" i="8"/>
  <c r="C314" i="8" s="1"/>
  <c r="B310" i="8"/>
  <c r="C310" i="8" s="1"/>
  <c r="E310" i="8" s="1"/>
  <c r="B306" i="8"/>
  <c r="C306" i="8" s="1"/>
  <c r="E306" i="8" s="1"/>
  <c r="B302" i="8"/>
  <c r="C302" i="8" s="1"/>
  <c r="B298" i="8"/>
  <c r="C298" i="8" s="1"/>
  <c r="B294" i="8"/>
  <c r="C294" i="8" s="1"/>
  <c r="E294" i="8" s="1"/>
  <c r="B290" i="8"/>
  <c r="C290" i="8" s="1"/>
  <c r="E290" i="8" s="1"/>
  <c r="B286" i="8"/>
  <c r="C286" i="8" s="1"/>
  <c r="B282" i="8"/>
  <c r="C282" i="8" s="1"/>
  <c r="B278" i="8"/>
  <c r="C278" i="8" s="1"/>
  <c r="E278" i="8" s="1"/>
  <c r="B274" i="8"/>
  <c r="C274" i="8" s="1"/>
  <c r="D274" i="8" s="1"/>
  <c r="B270" i="8"/>
  <c r="C270" i="8" s="1"/>
  <c r="B266" i="8"/>
  <c r="C266" i="8" s="1"/>
  <c r="B262" i="8"/>
  <c r="C262" i="8" s="1"/>
  <c r="E262" i="8" s="1"/>
  <c r="B258" i="8"/>
  <c r="C258" i="8" s="1"/>
  <c r="E258" i="8" s="1"/>
  <c r="B254" i="8"/>
  <c r="C254" i="8" s="1"/>
  <c r="B250" i="8"/>
  <c r="C250" i="8" s="1"/>
  <c r="B246" i="8"/>
  <c r="C246" i="8" s="1"/>
  <c r="E246" i="8" s="1"/>
  <c r="B242" i="8"/>
  <c r="C242" i="8" s="1"/>
  <c r="D242" i="8" s="1"/>
  <c r="B238" i="8"/>
  <c r="C238" i="8" s="1"/>
  <c r="B234" i="8"/>
  <c r="C234" i="8" s="1"/>
  <c r="E234" i="8" s="1"/>
  <c r="B233" i="8"/>
  <c r="C233" i="8" s="1"/>
  <c r="E233" i="8" s="1"/>
  <c r="B232" i="8"/>
  <c r="C232" i="8" s="1"/>
  <c r="E232" i="8" s="1"/>
  <c r="B231" i="8"/>
  <c r="C231" i="8" s="1"/>
  <c r="B230" i="8"/>
  <c r="C230" i="8" s="1"/>
  <c r="B229" i="8"/>
  <c r="C229" i="8" s="1"/>
  <c r="E229" i="8" s="1"/>
  <c r="B228" i="8"/>
  <c r="C228" i="8" s="1"/>
  <c r="E228" i="8" s="1"/>
  <c r="B227" i="8"/>
  <c r="C227" i="8" s="1"/>
  <c r="B226" i="8"/>
  <c r="C226" i="8" s="1"/>
  <c r="B225" i="8"/>
  <c r="C225" i="8" s="1"/>
  <c r="E225" i="8" s="1"/>
  <c r="B224" i="8"/>
  <c r="C224" i="8" s="1"/>
  <c r="E224" i="8" s="1"/>
  <c r="B223" i="8"/>
  <c r="C223" i="8" s="1"/>
  <c r="B222" i="8"/>
  <c r="C222" i="8" s="1"/>
  <c r="B221" i="8"/>
  <c r="C221" i="8" s="1"/>
  <c r="D221" i="8" s="1"/>
  <c r="B220" i="8"/>
  <c r="C220" i="8" s="1"/>
  <c r="E220" i="8" s="1"/>
  <c r="B219" i="8"/>
  <c r="C219" i="8" s="1"/>
  <c r="B218" i="8"/>
  <c r="C218" i="8" s="1"/>
  <c r="B217" i="8"/>
  <c r="C217" i="8" s="1"/>
  <c r="D217" i="8" s="1"/>
  <c r="B216" i="8"/>
  <c r="C216" i="8" s="1"/>
  <c r="E216" i="8" s="1"/>
  <c r="B215" i="8"/>
  <c r="C215" i="8" s="1"/>
  <c r="B214" i="8"/>
  <c r="C214" i="8" s="1"/>
  <c r="B213" i="8"/>
  <c r="C213" i="8" s="1"/>
  <c r="E213" i="8" s="1"/>
  <c r="B212" i="8"/>
  <c r="C212" i="8" s="1"/>
  <c r="E212" i="8" s="1"/>
  <c r="B211" i="8"/>
  <c r="C211" i="8" s="1"/>
  <c r="B210" i="8"/>
  <c r="C210" i="8" s="1"/>
  <c r="B209" i="8"/>
  <c r="C209" i="8" s="1"/>
  <c r="E209" i="8" s="1"/>
  <c r="B208" i="8"/>
  <c r="C208" i="8" s="1"/>
  <c r="E208" i="8" s="1"/>
  <c r="B207" i="8"/>
  <c r="C207" i="8" s="1"/>
  <c r="B206" i="8"/>
  <c r="C206" i="8" s="1"/>
  <c r="B317" i="8"/>
  <c r="C317" i="8" s="1"/>
  <c r="D317" i="8" s="1"/>
  <c r="B313" i="8"/>
  <c r="C313" i="8" s="1"/>
  <c r="D313" i="8" s="1"/>
  <c r="B309" i="8"/>
  <c r="C309" i="8" s="1"/>
  <c r="B305" i="8"/>
  <c r="C305" i="8" s="1"/>
  <c r="B301" i="8"/>
  <c r="C301" i="8" s="1"/>
  <c r="D301" i="8" s="1"/>
  <c r="B297" i="8"/>
  <c r="C297" i="8" s="1"/>
  <c r="D297" i="8" s="1"/>
  <c r="B293" i="8"/>
  <c r="C293" i="8" s="1"/>
  <c r="B289" i="8"/>
  <c r="C289" i="8" s="1"/>
  <c r="B287" i="8"/>
  <c r="C287" i="8" s="1"/>
  <c r="D287" i="8" s="1"/>
  <c r="B283" i="8"/>
  <c r="C283" i="8" s="1"/>
  <c r="D283" i="8" s="1"/>
  <c r="B279" i="8"/>
  <c r="C279" i="8" s="1"/>
  <c r="B275" i="8"/>
  <c r="C275" i="8" s="1"/>
  <c r="B271" i="8"/>
  <c r="C271" i="8" s="1"/>
  <c r="D271" i="8" s="1"/>
  <c r="B267" i="8"/>
  <c r="C267" i="8" s="1"/>
  <c r="D267" i="8" s="1"/>
  <c r="B263" i="8"/>
  <c r="C263" i="8" s="1"/>
  <c r="B259" i="8"/>
  <c r="C259" i="8" s="1"/>
  <c r="B255" i="8"/>
  <c r="C255" i="8" s="1"/>
  <c r="D255" i="8" s="1"/>
  <c r="B251" i="8"/>
  <c r="C251" i="8" s="1"/>
  <c r="D251" i="8" s="1"/>
  <c r="B247" i="8"/>
  <c r="C247" i="8" s="1"/>
  <c r="B243" i="8"/>
  <c r="C243" i="8" s="1"/>
  <c r="B239" i="8"/>
  <c r="C239" i="8" s="1"/>
  <c r="D239" i="8" s="1"/>
  <c r="B235" i="8"/>
  <c r="C235" i="8" s="1"/>
  <c r="D235" i="8" s="1"/>
  <c r="B316" i="8"/>
  <c r="C316" i="8" s="1"/>
  <c r="B312" i="8"/>
  <c r="C312" i="8" s="1"/>
  <c r="B308" i="8"/>
  <c r="C308" i="8" s="1"/>
  <c r="D308" i="8" s="1"/>
  <c r="B304" i="8"/>
  <c r="C304" i="8" s="1"/>
  <c r="D304" i="8" s="1"/>
  <c r="B300" i="8"/>
  <c r="C300" i="8" s="1"/>
  <c r="B296" i="8"/>
  <c r="C296" i="8" s="1"/>
  <c r="B292" i="8"/>
  <c r="C292" i="8" s="1"/>
  <c r="D292" i="8" s="1"/>
  <c r="B288" i="8"/>
  <c r="C288" i="8" s="1"/>
  <c r="D288" i="8" s="1"/>
  <c r="B284" i="8"/>
  <c r="C284" i="8" s="1"/>
  <c r="B280" i="8"/>
  <c r="C280" i="8" s="1"/>
  <c r="B276" i="8"/>
  <c r="C276" i="8" s="1"/>
  <c r="D276" i="8" s="1"/>
  <c r="B272" i="8"/>
  <c r="C272" i="8" s="1"/>
  <c r="D272" i="8" s="1"/>
  <c r="B268" i="8"/>
  <c r="C268" i="8" s="1"/>
  <c r="B264" i="8"/>
  <c r="C264" i="8" s="1"/>
  <c r="B260" i="8"/>
  <c r="C260" i="8" s="1"/>
  <c r="D260" i="8" s="1"/>
  <c r="B256" i="8"/>
  <c r="C256" i="8" s="1"/>
  <c r="D256" i="8" s="1"/>
  <c r="B252" i="8"/>
  <c r="C252" i="8" s="1"/>
  <c r="B248" i="8"/>
  <c r="C248" i="8" s="1"/>
  <c r="B244" i="8"/>
  <c r="C244" i="8" s="1"/>
  <c r="C240" i="8"/>
  <c r="B236" i="8"/>
  <c r="C236" i="8" s="1"/>
  <c r="B315" i="8"/>
  <c r="C315" i="8" s="1"/>
  <c r="B299" i="8"/>
  <c r="C299" i="8" s="1"/>
  <c r="D299" i="8" s="1"/>
  <c r="B281" i="8"/>
  <c r="C281" i="8" s="1"/>
  <c r="D281" i="8" s="1"/>
  <c r="B265" i="8"/>
  <c r="C265" i="8" s="1"/>
  <c r="B249" i="8"/>
  <c r="C249" i="8" s="1"/>
  <c r="B196" i="8"/>
  <c r="C196" i="8" s="1"/>
  <c r="E196" i="8" s="1"/>
  <c r="B195" i="8"/>
  <c r="C195" i="8" s="1"/>
  <c r="E195" i="8" s="1"/>
  <c r="B194" i="8"/>
  <c r="C194" i="8" s="1"/>
  <c r="B193" i="8"/>
  <c r="C193" i="8" s="1"/>
  <c r="B192" i="8"/>
  <c r="C192" i="8" s="1"/>
  <c r="E192" i="8" s="1"/>
  <c r="B191" i="8"/>
  <c r="C191" i="8" s="1"/>
  <c r="E191" i="8" s="1"/>
  <c r="B190" i="8"/>
  <c r="C190" i="8" s="1"/>
  <c r="B189" i="8"/>
  <c r="C189" i="8" s="1"/>
  <c r="B188" i="8"/>
  <c r="C188" i="8" s="1"/>
  <c r="E188" i="8" s="1"/>
  <c r="B187" i="8"/>
  <c r="C187" i="8" s="1"/>
  <c r="E187" i="8" s="1"/>
  <c r="B186" i="8"/>
  <c r="C186" i="8" s="1"/>
  <c r="B185" i="8"/>
  <c r="C185" i="8" s="1"/>
  <c r="B184" i="8"/>
  <c r="C184" i="8" s="1"/>
  <c r="E184" i="8" s="1"/>
  <c r="B183" i="8"/>
  <c r="C183" i="8" s="1"/>
  <c r="E183" i="8" s="1"/>
  <c r="B182" i="8"/>
  <c r="C182" i="8" s="1"/>
  <c r="B181" i="8"/>
  <c r="C181" i="8" s="1"/>
  <c r="B180" i="8"/>
  <c r="C180" i="8" s="1"/>
  <c r="E180" i="8" s="1"/>
  <c r="B179" i="8"/>
  <c r="C179" i="8" s="1"/>
  <c r="E179" i="8" s="1"/>
  <c r="B178" i="8"/>
  <c r="C178" i="8" s="1"/>
  <c r="B177" i="8"/>
  <c r="C177" i="8" s="1"/>
  <c r="B311" i="8"/>
  <c r="C311" i="8" s="1"/>
  <c r="D311" i="8" s="1"/>
  <c r="B295" i="8"/>
  <c r="C295" i="8" s="1"/>
  <c r="D295" i="8" s="1"/>
  <c r="B285" i="8"/>
  <c r="C285" i="8" s="1"/>
  <c r="B269" i="8"/>
  <c r="C269" i="8" s="1"/>
  <c r="B253" i="8"/>
  <c r="C253" i="8" s="1"/>
  <c r="E253" i="8" s="1"/>
  <c r="B237" i="8"/>
  <c r="C237" i="8" s="1"/>
  <c r="E237" i="8" s="1"/>
  <c r="B205" i="8"/>
  <c r="C205" i="8" s="1"/>
  <c r="B203" i="8"/>
  <c r="C203" i="8" s="1"/>
  <c r="B201" i="8"/>
  <c r="C201" i="8" s="1"/>
  <c r="D201" i="8" s="1"/>
  <c r="B199" i="8"/>
  <c r="C199" i="8" s="1"/>
  <c r="E199" i="8" s="1"/>
  <c r="B197" i="8"/>
  <c r="C197" i="8" s="1"/>
  <c r="B175" i="8"/>
  <c r="C175" i="8" s="1"/>
  <c r="B174" i="8"/>
  <c r="C174" i="8" s="1"/>
  <c r="D174" i="8" s="1"/>
  <c r="B173" i="8"/>
  <c r="C173" i="8" s="1"/>
  <c r="E173" i="8" s="1"/>
  <c r="B172" i="8"/>
  <c r="C172" i="8" s="1"/>
  <c r="E172" i="8" s="1"/>
  <c r="B171" i="8"/>
  <c r="C171" i="8" s="1"/>
  <c r="B170" i="8"/>
  <c r="C170" i="8" s="1"/>
  <c r="D170" i="8" s="1"/>
  <c r="B169" i="8"/>
  <c r="C169" i="8" s="1"/>
  <c r="D169" i="8" s="1"/>
  <c r="B168" i="8"/>
  <c r="C168" i="8" s="1"/>
  <c r="B167" i="8"/>
  <c r="C167" i="8" s="1"/>
  <c r="B166" i="8"/>
  <c r="C166" i="8" s="1"/>
  <c r="D166" i="8" s="1"/>
  <c r="B165" i="8"/>
  <c r="C165" i="8" s="1"/>
  <c r="D165" i="8" s="1"/>
  <c r="B164" i="8"/>
  <c r="C164" i="8" s="1"/>
  <c r="B163" i="8"/>
  <c r="C163" i="8" s="1"/>
  <c r="B162" i="8"/>
  <c r="C162" i="8" s="1"/>
  <c r="E162" i="8" s="1"/>
  <c r="B161" i="8"/>
  <c r="C161" i="8" s="1"/>
  <c r="D161" i="8" s="1"/>
  <c r="B160" i="8"/>
  <c r="C160" i="8" s="1"/>
  <c r="E160" i="8" s="1"/>
  <c r="B159" i="8"/>
  <c r="C159" i="8" s="1"/>
  <c r="B158" i="8"/>
  <c r="C158" i="8" s="1"/>
  <c r="D158" i="8" s="1"/>
  <c r="B157" i="8"/>
  <c r="C157" i="8" s="1"/>
  <c r="E157" i="8" s="1"/>
  <c r="B156" i="8"/>
  <c r="C156" i="8" s="1"/>
  <c r="E156" i="8" s="1"/>
  <c r="B155" i="8"/>
  <c r="C155" i="8" s="1"/>
  <c r="B154" i="8"/>
  <c r="C154" i="8" s="1"/>
  <c r="D154" i="8" s="1"/>
  <c r="B153" i="8"/>
  <c r="C153" i="8" s="1"/>
  <c r="E153" i="8" s="1"/>
  <c r="B152" i="8"/>
  <c r="C152" i="8" s="1"/>
  <c r="B151" i="8"/>
  <c r="C151" i="8" s="1"/>
  <c r="B150" i="8"/>
  <c r="C150" i="8" s="1"/>
  <c r="D150" i="8" s="1"/>
  <c r="B149" i="8"/>
  <c r="C149" i="8" s="1"/>
  <c r="D149" i="8" s="1"/>
  <c r="B148" i="8"/>
  <c r="C148" i="8" s="1"/>
  <c r="B147" i="8"/>
  <c r="C147" i="8" s="1"/>
  <c r="B146" i="8"/>
  <c r="C146" i="8" s="1"/>
  <c r="E146" i="8" s="1"/>
  <c r="B145" i="8"/>
  <c r="C145" i="8" s="1"/>
  <c r="D145" i="8" s="1"/>
  <c r="B144" i="8"/>
  <c r="C144" i="8" s="1"/>
  <c r="B143" i="8"/>
  <c r="C143" i="8" s="1"/>
  <c r="B142" i="8"/>
  <c r="C142" i="8" s="1"/>
  <c r="D142" i="8" s="1"/>
  <c r="B141" i="8"/>
  <c r="C141" i="8" s="1"/>
  <c r="E141" i="8" s="1"/>
  <c r="B307" i="8"/>
  <c r="C307" i="8" s="1"/>
  <c r="B291" i="8"/>
  <c r="C291" i="8" s="1"/>
  <c r="B273" i="8"/>
  <c r="C273" i="8" s="1"/>
  <c r="E273" i="8" s="1"/>
  <c r="B257" i="8"/>
  <c r="C257" i="8" s="1"/>
  <c r="E257" i="8" s="1"/>
  <c r="B241" i="8"/>
  <c r="C241" i="8" s="1"/>
  <c r="B21" i="8"/>
  <c r="C21" i="8" s="1"/>
  <c r="B27" i="8"/>
  <c r="C27" i="8" s="1"/>
  <c r="E27" i="8" s="1"/>
  <c r="B42" i="8"/>
  <c r="C42" i="8" s="1"/>
  <c r="D42" i="8" s="1"/>
  <c r="B43" i="8"/>
  <c r="C43" i="8" s="1"/>
  <c r="E43" i="8" s="1"/>
  <c r="B44" i="8"/>
  <c r="C44" i="8" s="1"/>
  <c r="B45" i="8"/>
  <c r="C45" i="8" s="1"/>
  <c r="D45" i="8" s="1"/>
  <c r="B46" i="8"/>
  <c r="C46" i="8" s="1"/>
  <c r="E46" i="8" s="1"/>
  <c r="B47" i="8"/>
  <c r="C47" i="8" s="1"/>
  <c r="E47" i="8" s="1"/>
  <c r="B48" i="8"/>
  <c r="C48" i="8" s="1"/>
  <c r="B49" i="8"/>
  <c r="C49" i="8" s="1"/>
  <c r="D49" i="8" s="1"/>
  <c r="B50" i="8"/>
  <c r="C50" i="8" s="1"/>
  <c r="E50" i="8" s="1"/>
  <c r="B51" i="8"/>
  <c r="C51" i="8" s="1"/>
  <c r="E51" i="8" s="1"/>
  <c r="B52" i="8"/>
  <c r="C52" i="8" s="1"/>
  <c r="B53" i="8"/>
  <c r="C53" i="8" s="1"/>
  <c r="D53" i="8" s="1"/>
  <c r="B54" i="8"/>
  <c r="C54" i="8" s="1"/>
  <c r="E54" i="8" s="1"/>
  <c r="B55" i="8"/>
  <c r="C55" i="8" s="1"/>
  <c r="E55" i="8" s="1"/>
  <c r="B56" i="8"/>
  <c r="C56" i="8" s="1"/>
  <c r="B57" i="8"/>
  <c r="C57" i="8" s="1"/>
  <c r="D57" i="8" s="1"/>
  <c r="B58" i="8"/>
  <c r="C58" i="8" s="1"/>
  <c r="D58" i="8" s="1"/>
  <c r="B59" i="8"/>
  <c r="C59" i="8" s="1"/>
  <c r="E59" i="8" s="1"/>
  <c r="B60" i="8"/>
  <c r="C60" i="8" s="1"/>
  <c r="B61" i="8"/>
  <c r="C61" i="8" s="1"/>
  <c r="D61" i="8" s="1"/>
  <c r="B62" i="8"/>
  <c r="C62" i="8" s="1"/>
  <c r="E62" i="8" s="1"/>
  <c r="B63" i="8"/>
  <c r="C63" i="8" s="1"/>
  <c r="E63" i="8" s="1"/>
  <c r="B64" i="8"/>
  <c r="C64" i="8" s="1"/>
  <c r="B65" i="8"/>
  <c r="C65" i="8" s="1"/>
  <c r="D65" i="8" s="1"/>
  <c r="B66" i="8"/>
  <c r="C66" i="8" s="1"/>
  <c r="E66" i="8" s="1"/>
  <c r="B67" i="8"/>
  <c r="C67" i="8" s="1"/>
  <c r="E67" i="8" s="1"/>
  <c r="B68" i="8"/>
  <c r="C68" i="8" s="1"/>
  <c r="B69" i="8"/>
  <c r="C69" i="8" s="1"/>
  <c r="D69" i="8" s="1"/>
  <c r="B70" i="8"/>
  <c r="C70" i="8" s="1"/>
  <c r="E70" i="8" s="1"/>
  <c r="B71" i="8"/>
  <c r="C71" i="8" s="1"/>
  <c r="E71" i="8" s="1"/>
  <c r="B72" i="8"/>
  <c r="C72" i="8" s="1"/>
  <c r="B73" i="8"/>
  <c r="C73" i="8" s="1"/>
  <c r="D73" i="8" s="1"/>
  <c r="B74" i="8"/>
  <c r="C74" i="8" s="1"/>
  <c r="D74" i="8" s="1"/>
  <c r="B75" i="8"/>
  <c r="C75" i="8" s="1"/>
  <c r="E75" i="8" s="1"/>
  <c r="B76" i="8"/>
  <c r="C76" i="8" s="1"/>
  <c r="B77" i="8"/>
  <c r="C77" i="8" s="1"/>
  <c r="D77" i="8" s="1"/>
  <c r="B78" i="8"/>
  <c r="C78" i="8" s="1"/>
  <c r="E78" i="8" s="1"/>
  <c r="B79" i="8"/>
  <c r="C79" i="8" s="1"/>
  <c r="E79" i="8" s="1"/>
  <c r="B80" i="8"/>
  <c r="C80" i="8" s="1"/>
  <c r="B81" i="8"/>
  <c r="C81" i="8" s="1"/>
  <c r="D81" i="8" s="1"/>
  <c r="B82" i="8"/>
  <c r="C82" i="8" s="1"/>
  <c r="E82" i="8" s="1"/>
  <c r="B83" i="8"/>
  <c r="C83" i="8" s="1"/>
  <c r="E83" i="8" s="1"/>
  <c r="B84" i="8"/>
  <c r="C84" i="8" s="1"/>
  <c r="B85" i="8"/>
  <c r="C85" i="8" s="1"/>
  <c r="D85" i="8" s="1"/>
  <c r="B86" i="8"/>
  <c r="C86" i="8" s="1"/>
  <c r="E86" i="8" s="1"/>
  <c r="B87" i="8"/>
  <c r="C87" i="8" s="1"/>
  <c r="E87" i="8" s="1"/>
  <c r="B88" i="8"/>
  <c r="C88" i="8" s="1"/>
  <c r="B89" i="8"/>
  <c r="C89" i="8" s="1"/>
  <c r="D89" i="8" s="1"/>
  <c r="B90" i="8"/>
  <c r="C90" i="8" s="1"/>
  <c r="D90" i="8" s="1"/>
  <c r="B91" i="8"/>
  <c r="C91" i="8" s="1"/>
  <c r="B92" i="8"/>
  <c r="C92" i="8" s="1"/>
  <c r="B93" i="8"/>
  <c r="C93" i="8" s="1"/>
  <c r="D93" i="8" s="1"/>
  <c r="B94" i="8"/>
  <c r="C94" i="8" s="1"/>
  <c r="E94" i="8" s="1"/>
  <c r="B95" i="8"/>
  <c r="C95" i="8" s="1"/>
  <c r="E95" i="8" s="1"/>
  <c r="B96" i="8"/>
  <c r="C96" i="8" s="1"/>
  <c r="B97" i="8"/>
  <c r="C97" i="8" s="1"/>
  <c r="D97" i="8" s="1"/>
  <c r="B98" i="8"/>
  <c r="C98" i="8" s="1"/>
  <c r="E98" i="8" s="1"/>
  <c r="B99" i="8"/>
  <c r="C99" i="8" s="1"/>
  <c r="B100" i="8"/>
  <c r="C100" i="8" s="1"/>
  <c r="B101" i="8"/>
  <c r="C101" i="8" s="1"/>
  <c r="D101" i="8" s="1"/>
  <c r="B102" i="8"/>
  <c r="C102" i="8" s="1"/>
  <c r="E102" i="8" s="1"/>
  <c r="B103" i="8"/>
  <c r="C103" i="8" s="1"/>
  <c r="B104" i="8"/>
  <c r="C104" i="8" s="1"/>
  <c r="B105" i="8"/>
  <c r="C105" i="8" s="1"/>
  <c r="D105" i="8" s="1"/>
  <c r="B106" i="8"/>
  <c r="C106" i="8" s="1"/>
  <c r="D106" i="8" s="1"/>
  <c r="B107" i="8"/>
  <c r="C107" i="8" s="1"/>
  <c r="B108" i="8"/>
  <c r="C108" i="8" s="1"/>
  <c r="B109" i="8"/>
  <c r="C109" i="8" s="1"/>
  <c r="D109" i="8" s="1"/>
  <c r="B110" i="8"/>
  <c r="C110" i="8" s="1"/>
  <c r="E110" i="8" s="1"/>
  <c r="B111" i="8"/>
  <c r="C111" i="8" s="1"/>
  <c r="B112" i="8"/>
  <c r="C112" i="8" s="1"/>
  <c r="B113" i="8"/>
  <c r="C113" i="8" s="1"/>
  <c r="D113" i="8" s="1"/>
  <c r="B114" i="8"/>
  <c r="C114" i="8" s="1"/>
  <c r="E114" i="8" s="1"/>
  <c r="B115" i="8"/>
  <c r="C115" i="8" s="1"/>
  <c r="B116" i="8"/>
  <c r="C116" i="8" s="1"/>
  <c r="B117" i="8"/>
  <c r="C117" i="8" s="1"/>
  <c r="D117" i="8" s="1"/>
  <c r="B118" i="8"/>
  <c r="C118" i="8" s="1"/>
  <c r="E118" i="8" s="1"/>
  <c r="B119" i="8"/>
  <c r="C119" i="8" s="1"/>
  <c r="B120" i="8"/>
  <c r="C120" i="8" s="1"/>
  <c r="B121" i="8"/>
  <c r="C121" i="8" s="1"/>
  <c r="D121" i="8" s="1"/>
  <c r="B122" i="8"/>
  <c r="C122" i="8" s="1"/>
  <c r="D122" i="8" s="1"/>
  <c r="B123" i="8"/>
  <c r="C123" i="8" s="1"/>
  <c r="B124" i="8"/>
  <c r="C124" i="8" s="1"/>
  <c r="B128" i="8"/>
  <c r="C128" i="8" s="1"/>
  <c r="E128" i="8" s="1"/>
  <c r="B132" i="8"/>
  <c r="C132" i="8" s="1"/>
  <c r="E132" i="8" s="1"/>
  <c r="B136" i="8"/>
  <c r="C136" i="8" s="1"/>
  <c r="E136" i="8" s="1"/>
  <c r="B138" i="8"/>
  <c r="C138" i="8" s="1"/>
  <c r="E138" i="8" s="1"/>
  <c r="B140" i="8"/>
  <c r="C140" i="8" s="1"/>
  <c r="D140" i="8" s="1"/>
  <c r="B202" i="8"/>
  <c r="C202" i="8" s="1"/>
  <c r="E202" i="8" s="1"/>
  <c r="B303" i="8"/>
  <c r="C303" i="8" s="1"/>
  <c r="D16" i="8" l="1"/>
  <c r="D28" i="8"/>
  <c r="D39" i="8"/>
  <c r="E38" i="8"/>
  <c r="D19" i="8"/>
  <c r="D240" i="8"/>
  <c r="N13" i="8"/>
  <c r="I16" i="8"/>
  <c r="J16" i="8" s="1"/>
  <c r="D17" i="8"/>
  <c r="D224" i="8"/>
  <c r="E18" i="8"/>
  <c r="E281" i="8"/>
  <c r="E133" i="8"/>
  <c r="D208" i="8"/>
  <c r="D82" i="8"/>
  <c r="E49" i="8"/>
  <c r="E113" i="8"/>
  <c r="D98" i="8"/>
  <c r="E57" i="8"/>
  <c r="E121" i="8"/>
  <c r="E142" i="8"/>
  <c r="D216" i="8"/>
  <c r="D290" i="8"/>
  <c r="D114" i="8"/>
  <c r="E65" i="8"/>
  <c r="D135" i="8"/>
  <c r="E150" i="8"/>
  <c r="E295" i="8"/>
  <c r="D20" i="8"/>
  <c r="D141" i="8"/>
  <c r="E73" i="8"/>
  <c r="D162" i="8"/>
  <c r="E158" i="8"/>
  <c r="D233" i="8"/>
  <c r="D173" i="8"/>
  <c r="E81" i="8"/>
  <c r="E166" i="8"/>
  <c r="E89" i="8"/>
  <c r="D32" i="8"/>
  <c r="E174" i="8"/>
  <c r="E217" i="8"/>
  <c r="D50" i="8"/>
  <c r="E97" i="8"/>
  <c r="E267" i="8"/>
  <c r="D66" i="8"/>
  <c r="E105" i="8"/>
  <c r="D196" i="8"/>
  <c r="E33" i="8"/>
  <c r="D27" i="8"/>
  <c r="D54" i="8"/>
  <c r="D70" i="8"/>
  <c r="D86" i="8"/>
  <c r="D102" i="8"/>
  <c r="D118" i="8"/>
  <c r="D153" i="8"/>
  <c r="E42" i="8"/>
  <c r="E58" i="8"/>
  <c r="E74" i="8"/>
  <c r="E90" i="8"/>
  <c r="E106" i="8"/>
  <c r="E122" i="8"/>
  <c r="D36" i="8"/>
  <c r="E127" i="8"/>
  <c r="E134" i="8"/>
  <c r="E145" i="8"/>
  <c r="E161" i="8"/>
  <c r="E169" i="8"/>
  <c r="D176" i="8"/>
  <c r="D278" i="8"/>
  <c r="D200" i="8"/>
  <c r="D209" i="8"/>
  <c r="D225" i="8"/>
  <c r="D245" i="8"/>
  <c r="E201" i="8"/>
  <c r="E221" i="8"/>
  <c r="E244" i="8"/>
  <c r="D294" i="8"/>
  <c r="E299" i="8"/>
  <c r="D24" i="8"/>
  <c r="D25" i="8"/>
  <c r="D157" i="8"/>
  <c r="E45" i="8"/>
  <c r="E53" i="8"/>
  <c r="E61" i="8"/>
  <c r="E69" i="8"/>
  <c r="E77" i="8"/>
  <c r="E85" i="8"/>
  <c r="E93" i="8"/>
  <c r="E101" i="8"/>
  <c r="E109" i="8"/>
  <c r="E117" i="8"/>
  <c r="D146" i="8"/>
  <c r="D37" i="8"/>
  <c r="E130" i="8"/>
  <c r="E154" i="8"/>
  <c r="E170" i="8"/>
  <c r="E235" i="8"/>
  <c r="E176" i="8"/>
  <c r="D212" i="8"/>
  <c r="D220" i="8"/>
  <c r="D228" i="8"/>
  <c r="D257" i="8"/>
  <c r="E260" i="8"/>
  <c r="D306" i="8"/>
  <c r="E311" i="8"/>
  <c r="D22" i="8"/>
  <c r="D46" i="8"/>
  <c r="D62" i="8"/>
  <c r="D78" i="8"/>
  <c r="D94" i="8"/>
  <c r="D110" i="8"/>
  <c r="D132" i="8"/>
  <c r="D131" i="8"/>
  <c r="E149" i="8"/>
  <c r="E165" i="8"/>
  <c r="D246" i="8"/>
  <c r="D258" i="8"/>
  <c r="D204" i="8"/>
  <c r="D213" i="8"/>
  <c r="D229" i="8"/>
  <c r="D273" i="8"/>
  <c r="E276" i="8"/>
  <c r="D310" i="8"/>
  <c r="E124" i="8"/>
  <c r="D124" i="8"/>
  <c r="E108" i="8"/>
  <c r="D108" i="8"/>
  <c r="E115" i="8"/>
  <c r="D115" i="8"/>
  <c r="E91" i="8"/>
  <c r="D91" i="8"/>
  <c r="D156" i="8"/>
  <c r="E23" i="8"/>
  <c r="D95" i="8"/>
  <c r="E116" i="8"/>
  <c r="D116" i="8"/>
  <c r="E100" i="8"/>
  <c r="D100" i="8"/>
  <c r="E303" i="8"/>
  <c r="D303" i="8"/>
  <c r="D119" i="8"/>
  <c r="E119" i="8"/>
  <c r="E107" i="8"/>
  <c r="D107" i="8"/>
  <c r="E99" i="8"/>
  <c r="D99" i="8"/>
  <c r="D138" i="8"/>
  <c r="D136" i="8"/>
  <c r="D160" i="8"/>
  <c r="D47" i="8"/>
  <c r="D55" i="8"/>
  <c r="D63" i="8"/>
  <c r="D71" i="8"/>
  <c r="D79" i="8"/>
  <c r="D87" i="8"/>
  <c r="E112" i="8"/>
  <c r="D112" i="8"/>
  <c r="E96" i="8"/>
  <c r="D96" i="8"/>
  <c r="E88" i="8"/>
  <c r="D88" i="8"/>
  <c r="E84" i="8"/>
  <c r="D84" i="8"/>
  <c r="E80" i="8"/>
  <c r="D80" i="8"/>
  <c r="E76" i="8"/>
  <c r="D76" i="8"/>
  <c r="E72" i="8"/>
  <c r="D72" i="8"/>
  <c r="E68" i="8"/>
  <c r="D68" i="8"/>
  <c r="E64" i="8"/>
  <c r="D64" i="8"/>
  <c r="E60" i="8"/>
  <c r="D60" i="8"/>
  <c r="E56" i="8"/>
  <c r="D56" i="8"/>
  <c r="E52" i="8"/>
  <c r="D52" i="8"/>
  <c r="E48" i="8"/>
  <c r="D48" i="8"/>
  <c r="E44" i="8"/>
  <c r="D44" i="8"/>
  <c r="E21" i="8"/>
  <c r="D21" i="8"/>
  <c r="D291" i="8"/>
  <c r="E291" i="8"/>
  <c r="D143" i="8"/>
  <c r="E143" i="8"/>
  <c r="E147" i="8"/>
  <c r="D147" i="8"/>
  <c r="E151" i="8"/>
  <c r="D151" i="8"/>
  <c r="D155" i="8"/>
  <c r="E155" i="8"/>
  <c r="D159" i="8"/>
  <c r="E159" i="8"/>
  <c r="D163" i="8"/>
  <c r="E163" i="8"/>
  <c r="E167" i="8"/>
  <c r="D167" i="8"/>
  <c r="D171" i="8"/>
  <c r="E171" i="8"/>
  <c r="D175" i="8"/>
  <c r="E175" i="8"/>
  <c r="E203" i="8"/>
  <c r="D203" i="8"/>
  <c r="E269" i="8"/>
  <c r="D269" i="8"/>
  <c r="E177" i="8"/>
  <c r="D177" i="8"/>
  <c r="E181" i="8"/>
  <c r="D181" i="8"/>
  <c r="E185" i="8"/>
  <c r="D185" i="8"/>
  <c r="E189" i="8"/>
  <c r="D189" i="8"/>
  <c r="E193" i="8"/>
  <c r="D193" i="8"/>
  <c r="E249" i="8"/>
  <c r="D249" i="8"/>
  <c r="E315" i="8"/>
  <c r="D315" i="8"/>
  <c r="D248" i="8"/>
  <c r="E248" i="8"/>
  <c r="D264" i="8"/>
  <c r="E264" i="8"/>
  <c r="D280" i="8"/>
  <c r="E280" i="8"/>
  <c r="D296" i="8"/>
  <c r="E296" i="8"/>
  <c r="D312" i="8"/>
  <c r="E312" i="8"/>
  <c r="D243" i="8"/>
  <c r="E243" i="8"/>
  <c r="D259" i="8"/>
  <c r="E259" i="8"/>
  <c r="D275" i="8"/>
  <c r="E275" i="8"/>
  <c r="D289" i="8"/>
  <c r="E289" i="8"/>
  <c r="D305" i="8"/>
  <c r="E305" i="8"/>
  <c r="E206" i="8"/>
  <c r="D206" i="8"/>
  <c r="E210" i="8"/>
  <c r="D210" i="8"/>
  <c r="E214" i="8"/>
  <c r="D214" i="8"/>
  <c r="E218" i="8"/>
  <c r="D218" i="8"/>
  <c r="E222" i="8"/>
  <c r="D222" i="8"/>
  <c r="E226" i="8"/>
  <c r="D226" i="8"/>
  <c r="E230" i="8"/>
  <c r="D230" i="8"/>
  <c r="E250" i="8"/>
  <c r="D250" i="8"/>
  <c r="D266" i="8"/>
  <c r="E266" i="8"/>
  <c r="D282" i="8"/>
  <c r="E282" i="8"/>
  <c r="E298" i="8"/>
  <c r="D298" i="8"/>
  <c r="E314" i="8"/>
  <c r="D314" i="8"/>
  <c r="E26" i="8"/>
  <c r="D26" i="8"/>
  <c r="D139" i="8"/>
  <c r="E139" i="8"/>
  <c r="E126" i="8"/>
  <c r="D126" i="8"/>
  <c r="D31" i="8"/>
  <c r="E31" i="8"/>
  <c r="D125" i="8"/>
  <c r="D129" i="8"/>
  <c r="D172" i="8"/>
  <c r="E120" i="8"/>
  <c r="D120" i="8"/>
  <c r="E104" i="8"/>
  <c r="D104" i="8"/>
  <c r="E92" i="8"/>
  <c r="D92" i="8"/>
  <c r="D123" i="8"/>
  <c r="E123" i="8"/>
  <c r="D111" i="8"/>
  <c r="E111" i="8"/>
  <c r="D103" i="8"/>
  <c r="E103" i="8"/>
  <c r="E241" i="8"/>
  <c r="D241" i="8"/>
  <c r="E307" i="8"/>
  <c r="D307" i="8"/>
  <c r="E144" i="8"/>
  <c r="D144" i="8"/>
  <c r="E148" i="8"/>
  <c r="D148" i="8"/>
  <c r="E152" i="8"/>
  <c r="D152" i="8"/>
  <c r="E164" i="8"/>
  <c r="D164" i="8"/>
  <c r="E168" i="8"/>
  <c r="D168" i="8"/>
  <c r="E197" i="8"/>
  <c r="D197" i="8"/>
  <c r="E205" i="8"/>
  <c r="D205" i="8"/>
  <c r="E285" i="8"/>
  <c r="D285" i="8"/>
  <c r="E178" i="8"/>
  <c r="D178" i="8"/>
  <c r="E182" i="8"/>
  <c r="D182" i="8"/>
  <c r="E186" i="8"/>
  <c r="D186" i="8"/>
  <c r="E190" i="8"/>
  <c r="D190" i="8"/>
  <c r="E194" i="8"/>
  <c r="D194" i="8"/>
  <c r="E265" i="8"/>
  <c r="D265" i="8"/>
  <c r="E236" i="8"/>
  <c r="D236" i="8"/>
  <c r="D252" i="8"/>
  <c r="E252" i="8"/>
  <c r="E268" i="8"/>
  <c r="D268" i="8"/>
  <c r="E284" i="8"/>
  <c r="D284" i="8"/>
  <c r="D300" i="8"/>
  <c r="E300" i="8"/>
  <c r="D316" i="8"/>
  <c r="E316" i="8"/>
  <c r="E247" i="8"/>
  <c r="D247" i="8"/>
  <c r="D263" i="8"/>
  <c r="E263" i="8"/>
  <c r="E279" i="8"/>
  <c r="D279" i="8"/>
  <c r="D293" i="8"/>
  <c r="E293" i="8"/>
  <c r="D309" i="8"/>
  <c r="E309" i="8"/>
  <c r="E207" i="8"/>
  <c r="D207" i="8"/>
  <c r="E211" i="8"/>
  <c r="D211" i="8"/>
  <c r="E215" i="8"/>
  <c r="D215" i="8"/>
  <c r="E219" i="8"/>
  <c r="D219" i="8"/>
  <c r="E223" i="8"/>
  <c r="D223" i="8"/>
  <c r="E227" i="8"/>
  <c r="D227" i="8"/>
  <c r="E231" i="8"/>
  <c r="D231" i="8"/>
  <c r="E238" i="8"/>
  <c r="D238" i="8"/>
  <c r="E254" i="8"/>
  <c r="D254" i="8"/>
  <c r="E270" i="8"/>
  <c r="D270" i="8"/>
  <c r="E286" i="8"/>
  <c r="D286" i="8"/>
  <c r="E302" i="8"/>
  <c r="D302" i="8"/>
  <c r="E318" i="8"/>
  <c r="D318" i="8"/>
  <c r="E137" i="8"/>
  <c r="D137" i="8"/>
  <c r="I34" i="8"/>
  <c r="I38" i="8" s="1"/>
  <c r="E30" i="8"/>
  <c r="D30" i="8"/>
  <c r="E277" i="8"/>
  <c r="D277" i="8"/>
  <c r="E35" i="8"/>
  <c r="E40" i="8"/>
  <c r="D234" i="8"/>
  <c r="D43" i="8"/>
  <c r="D51" i="8"/>
  <c r="D59" i="8"/>
  <c r="D67" i="8"/>
  <c r="D75" i="8"/>
  <c r="D83" i="8"/>
  <c r="E29" i="8"/>
  <c r="D41" i="8"/>
  <c r="E255" i="8"/>
  <c r="E34" i="8"/>
  <c r="E239" i="8"/>
  <c r="E287" i="8"/>
  <c r="E271" i="8"/>
  <c r="D179" i="8"/>
  <c r="D183" i="8"/>
  <c r="D187" i="8"/>
  <c r="D191" i="8"/>
  <c r="D195" i="8"/>
  <c r="E251" i="8"/>
  <c r="E283" i="8"/>
  <c r="D198" i="8"/>
  <c r="D202" i="8"/>
  <c r="E242" i="8"/>
  <c r="E274" i="8"/>
  <c r="D244" i="8"/>
  <c r="E288" i="8"/>
  <c r="E292" i="8"/>
  <c r="E304" i="8"/>
  <c r="E308" i="8"/>
  <c r="D128" i="8"/>
  <c r="E140" i="8"/>
  <c r="D180" i="8"/>
  <c r="D184" i="8"/>
  <c r="D188" i="8"/>
  <c r="D192" i="8"/>
  <c r="D262" i="8"/>
  <c r="D199" i="8"/>
  <c r="D237" i="8"/>
  <c r="D253" i="8"/>
  <c r="D261" i="8"/>
  <c r="E240" i="8"/>
  <c r="I10" i="8" s="1"/>
  <c r="E256" i="8"/>
  <c r="E272" i="8"/>
  <c r="E297" i="8"/>
  <c r="E301" i="8"/>
  <c r="E313" i="8"/>
  <c r="E317" i="8"/>
  <c r="D232" i="8"/>
  <c r="I26" i="8" l="1"/>
  <c r="N14" i="8" s="1"/>
  <c r="O14" i="8" s="1"/>
  <c r="I21" i="8"/>
  <c r="I22" i="8" s="1"/>
  <c r="I23" i="8" s="1"/>
  <c r="I24" i="8" s="1"/>
  <c r="I39" i="8"/>
  <c r="I20" i="7"/>
  <c r="I36" i="7"/>
  <c r="I35" i="7" s="1"/>
  <c r="E10" i="7"/>
  <c r="B12" i="7" s="1"/>
  <c r="C10" i="7"/>
  <c r="B7" i="7"/>
  <c r="E4" i="7"/>
  <c r="B287" i="7"/>
  <c r="C287" i="7" s="1"/>
  <c r="C1" i="7"/>
  <c r="B1" i="3"/>
  <c r="N15" i="8" l="1"/>
  <c r="I40" i="8"/>
  <c r="I25" i="8"/>
  <c r="I27" i="8"/>
  <c r="E287" i="7"/>
  <c r="B49" i="7"/>
  <c r="C49" i="7" s="1"/>
  <c r="B56" i="7"/>
  <c r="C56" i="7" s="1"/>
  <c r="B68" i="7"/>
  <c r="C68" i="7" s="1"/>
  <c r="B76" i="7"/>
  <c r="C76" i="7" s="1"/>
  <c r="B84" i="7"/>
  <c r="C84" i="7" s="1"/>
  <c r="B92" i="7"/>
  <c r="C92" i="7" s="1"/>
  <c r="B100" i="7"/>
  <c r="C100" i="7" s="1"/>
  <c r="B112" i="7"/>
  <c r="C112" i="7" s="1"/>
  <c r="B120" i="7"/>
  <c r="C120" i="7" s="1"/>
  <c r="B128" i="7"/>
  <c r="C128" i="7" s="1"/>
  <c r="B160" i="7"/>
  <c r="C160" i="7" s="1"/>
  <c r="B15" i="7"/>
  <c r="C15" i="7" s="1"/>
  <c r="I15" i="7"/>
  <c r="B29" i="7"/>
  <c r="C29" i="7" s="1"/>
  <c r="B30" i="7"/>
  <c r="C30" i="7" s="1"/>
  <c r="E30" i="7" s="1"/>
  <c r="B31" i="7"/>
  <c r="C31" i="7" s="1"/>
  <c r="E31" i="7" s="1"/>
  <c r="B32" i="7"/>
  <c r="C32" i="7" s="1"/>
  <c r="B33" i="7"/>
  <c r="C33" i="7" s="1"/>
  <c r="E33" i="7" s="1"/>
  <c r="I33" i="7"/>
  <c r="B35" i="7"/>
  <c r="C35" i="7" s="1"/>
  <c r="B36" i="7"/>
  <c r="C36" i="7" s="1"/>
  <c r="E36" i="7" s="1"/>
  <c r="B37" i="7"/>
  <c r="C37" i="7" s="1"/>
  <c r="E37" i="7" s="1"/>
  <c r="B40" i="7"/>
  <c r="C40" i="7" s="1"/>
  <c r="E40" i="7" s="1"/>
  <c r="B44" i="7"/>
  <c r="C44" i="7" s="1"/>
  <c r="E44" i="7" s="1"/>
  <c r="B48" i="7"/>
  <c r="C48" i="7" s="1"/>
  <c r="B52" i="7"/>
  <c r="C52" i="7" s="1"/>
  <c r="B57" i="7"/>
  <c r="C57" i="7" s="1"/>
  <c r="B61" i="7"/>
  <c r="C61" i="7" s="1"/>
  <c r="B65" i="7"/>
  <c r="C65" i="7" s="1"/>
  <c r="B69" i="7"/>
  <c r="C69" i="7" s="1"/>
  <c r="B73" i="7"/>
  <c r="C73" i="7" s="1"/>
  <c r="B77" i="7"/>
  <c r="C77" i="7" s="1"/>
  <c r="B81" i="7"/>
  <c r="C81" i="7" s="1"/>
  <c r="B85" i="7"/>
  <c r="C85" i="7" s="1"/>
  <c r="B89" i="7"/>
  <c r="C89" i="7" s="1"/>
  <c r="B93" i="7"/>
  <c r="C93" i="7" s="1"/>
  <c r="B97" i="7"/>
  <c r="C97" i="7" s="1"/>
  <c r="B101" i="7"/>
  <c r="C101" i="7" s="1"/>
  <c r="B105" i="7"/>
  <c r="C105" i="7" s="1"/>
  <c r="B109" i="7"/>
  <c r="C109" i="7" s="1"/>
  <c r="B113" i="7"/>
  <c r="C113" i="7" s="1"/>
  <c r="B117" i="7"/>
  <c r="C117" i="7" s="1"/>
  <c r="B121" i="7"/>
  <c r="C121" i="7" s="1"/>
  <c r="B125" i="7"/>
  <c r="C125" i="7" s="1"/>
  <c r="B129" i="7"/>
  <c r="C129" i="7" s="1"/>
  <c r="B133" i="7"/>
  <c r="C133" i="7" s="1"/>
  <c r="B137" i="7"/>
  <c r="C137" i="7" s="1"/>
  <c r="B141" i="7"/>
  <c r="C141" i="7" s="1"/>
  <c r="B145" i="7"/>
  <c r="C145" i="7" s="1"/>
  <c r="B149" i="7"/>
  <c r="C149" i="7" s="1"/>
  <c r="B153" i="7"/>
  <c r="C153" i="7" s="1"/>
  <c r="B157" i="7"/>
  <c r="C157" i="7" s="1"/>
  <c r="B161" i="7"/>
  <c r="C161" i="7" s="1"/>
  <c r="B165" i="7"/>
  <c r="C165" i="7" s="1"/>
  <c r="B170" i="7"/>
  <c r="C170" i="7" s="1"/>
  <c r="B239" i="7"/>
  <c r="C239" i="7" s="1"/>
  <c r="E239" i="7" s="1"/>
  <c r="B303" i="7"/>
  <c r="C303" i="7" s="1"/>
  <c r="B22" i="7"/>
  <c r="C22" i="7" s="1"/>
  <c r="E22" i="7" s="1"/>
  <c r="B23" i="7"/>
  <c r="C23" i="7" s="1"/>
  <c r="B24" i="7"/>
  <c r="C24" i="7" s="1"/>
  <c r="B25" i="7"/>
  <c r="C25" i="7" s="1"/>
  <c r="B26" i="7"/>
  <c r="C26" i="7" s="1"/>
  <c r="E26" i="7" s="1"/>
  <c r="B34" i="7"/>
  <c r="C34" i="7" s="1"/>
  <c r="E34" i="7" s="1"/>
  <c r="B41" i="7"/>
  <c r="C41" i="7" s="1"/>
  <c r="E41" i="7" s="1"/>
  <c r="B43" i="7"/>
  <c r="C43" i="7" s="1"/>
  <c r="B47" i="7"/>
  <c r="C47" i="7" s="1"/>
  <c r="E47" i="7" s="1"/>
  <c r="B51" i="7"/>
  <c r="C51" i="7" s="1"/>
  <c r="E51" i="7" s="1"/>
  <c r="B54" i="7"/>
  <c r="C54" i="7" s="1"/>
  <c r="E54" i="7" s="1"/>
  <c r="B58" i="7"/>
  <c r="C58" i="7" s="1"/>
  <c r="E58" i="7" s="1"/>
  <c r="B62" i="7"/>
  <c r="C62" i="7" s="1"/>
  <c r="E62" i="7" s="1"/>
  <c r="B66" i="7"/>
  <c r="C66" i="7" s="1"/>
  <c r="E66" i="7" s="1"/>
  <c r="B70" i="7"/>
  <c r="C70" i="7" s="1"/>
  <c r="E70" i="7" s="1"/>
  <c r="B74" i="7"/>
  <c r="C74" i="7" s="1"/>
  <c r="E74" i="7" s="1"/>
  <c r="B78" i="7"/>
  <c r="C78" i="7" s="1"/>
  <c r="E78" i="7" s="1"/>
  <c r="B82" i="7"/>
  <c r="C82" i="7" s="1"/>
  <c r="E82" i="7" s="1"/>
  <c r="B86" i="7"/>
  <c r="C86" i="7" s="1"/>
  <c r="E86" i="7" s="1"/>
  <c r="B90" i="7"/>
  <c r="C90" i="7" s="1"/>
  <c r="E90" i="7" s="1"/>
  <c r="B94" i="7"/>
  <c r="C94" i="7" s="1"/>
  <c r="E94" i="7" s="1"/>
  <c r="B98" i="7"/>
  <c r="C98" i="7" s="1"/>
  <c r="E98" i="7" s="1"/>
  <c r="B102" i="7"/>
  <c r="C102" i="7" s="1"/>
  <c r="E102" i="7" s="1"/>
  <c r="B106" i="7"/>
  <c r="C106" i="7" s="1"/>
  <c r="E106" i="7" s="1"/>
  <c r="B110" i="7"/>
  <c r="C110" i="7" s="1"/>
  <c r="E110" i="7" s="1"/>
  <c r="B114" i="7"/>
  <c r="C114" i="7" s="1"/>
  <c r="E114" i="7" s="1"/>
  <c r="B118" i="7"/>
  <c r="C118" i="7" s="1"/>
  <c r="E118" i="7" s="1"/>
  <c r="B122" i="7"/>
  <c r="C122" i="7" s="1"/>
  <c r="E122" i="7" s="1"/>
  <c r="B126" i="7"/>
  <c r="C126" i="7" s="1"/>
  <c r="E126" i="7" s="1"/>
  <c r="B130" i="7"/>
  <c r="C130" i="7" s="1"/>
  <c r="E130" i="7" s="1"/>
  <c r="B134" i="7"/>
  <c r="C134" i="7" s="1"/>
  <c r="E134" i="7" s="1"/>
  <c r="B138" i="7"/>
  <c r="C138" i="7" s="1"/>
  <c r="E138" i="7" s="1"/>
  <c r="B142" i="7"/>
  <c r="C142" i="7" s="1"/>
  <c r="E142" i="7" s="1"/>
  <c r="B146" i="7"/>
  <c r="C146" i="7" s="1"/>
  <c r="E146" i="7" s="1"/>
  <c r="B150" i="7"/>
  <c r="C150" i="7" s="1"/>
  <c r="E150" i="7" s="1"/>
  <c r="B154" i="7"/>
  <c r="C154" i="7" s="1"/>
  <c r="E154" i="7" s="1"/>
  <c r="B158" i="7"/>
  <c r="C158" i="7" s="1"/>
  <c r="E158" i="7" s="1"/>
  <c r="B162" i="7"/>
  <c r="C162" i="7" s="1"/>
  <c r="E162" i="7" s="1"/>
  <c r="B166" i="7"/>
  <c r="C166" i="7" s="1"/>
  <c r="E166" i="7" s="1"/>
  <c r="B316" i="7"/>
  <c r="C316" i="7" s="1"/>
  <c r="B312" i="7"/>
  <c r="C312" i="7" s="1"/>
  <c r="B308" i="7"/>
  <c r="C308" i="7" s="1"/>
  <c r="B304" i="7"/>
  <c r="C304" i="7" s="1"/>
  <c r="B300" i="7"/>
  <c r="C300" i="7" s="1"/>
  <c r="E300" i="7" s="1"/>
  <c r="B296" i="7"/>
  <c r="C296" i="7" s="1"/>
  <c r="B292" i="7"/>
  <c r="C292" i="7" s="1"/>
  <c r="E292" i="7" s="1"/>
  <c r="B288" i="7"/>
  <c r="C288" i="7" s="1"/>
  <c r="B284" i="7"/>
  <c r="C284" i="7" s="1"/>
  <c r="B280" i="7"/>
  <c r="C280" i="7" s="1"/>
  <c r="B276" i="7"/>
  <c r="C276" i="7" s="1"/>
  <c r="E276" i="7" s="1"/>
  <c r="B272" i="7"/>
  <c r="C272" i="7" s="1"/>
  <c r="B268" i="7"/>
  <c r="C268" i="7" s="1"/>
  <c r="E268" i="7" s="1"/>
  <c r="B264" i="7"/>
  <c r="C264" i="7" s="1"/>
  <c r="B260" i="7"/>
  <c r="C260" i="7" s="1"/>
  <c r="E260" i="7" s="1"/>
  <c r="B256" i="7"/>
  <c r="C256" i="7" s="1"/>
  <c r="B252" i="7"/>
  <c r="C252" i="7" s="1"/>
  <c r="B248" i="7"/>
  <c r="C248" i="7" s="1"/>
  <c r="B244" i="7"/>
  <c r="C244" i="7" s="1"/>
  <c r="B240" i="7"/>
  <c r="C240" i="7" s="1"/>
  <c r="N13" i="7" s="1"/>
  <c r="B236" i="7"/>
  <c r="C236" i="7" s="1"/>
  <c r="E236" i="7" s="1"/>
  <c r="B317" i="7"/>
  <c r="C317" i="7" s="1"/>
  <c r="E317" i="7" s="1"/>
  <c r="B313" i="7"/>
  <c r="C313" i="7" s="1"/>
  <c r="B309" i="7"/>
  <c r="C309" i="7" s="1"/>
  <c r="B305" i="7"/>
  <c r="C305" i="7" s="1"/>
  <c r="B301" i="7"/>
  <c r="C301" i="7" s="1"/>
  <c r="E301" i="7" s="1"/>
  <c r="B297" i="7"/>
  <c r="C297" i="7" s="1"/>
  <c r="B293" i="7"/>
  <c r="C293" i="7" s="1"/>
  <c r="B289" i="7"/>
  <c r="C289" i="7" s="1"/>
  <c r="B285" i="7"/>
  <c r="C285" i="7" s="1"/>
  <c r="E285" i="7" s="1"/>
  <c r="B281" i="7"/>
  <c r="C281" i="7" s="1"/>
  <c r="B277" i="7"/>
  <c r="C277" i="7" s="1"/>
  <c r="B273" i="7"/>
  <c r="C273" i="7" s="1"/>
  <c r="B269" i="7"/>
  <c r="C269" i="7" s="1"/>
  <c r="E269" i="7" s="1"/>
  <c r="B265" i="7"/>
  <c r="C265" i="7" s="1"/>
  <c r="B261" i="7"/>
  <c r="C261" i="7" s="1"/>
  <c r="B257" i="7"/>
  <c r="C257" i="7" s="1"/>
  <c r="B253" i="7"/>
  <c r="C253" i="7" s="1"/>
  <c r="E253" i="7" s="1"/>
  <c r="B249" i="7"/>
  <c r="C249" i="7" s="1"/>
  <c r="B245" i="7"/>
  <c r="C245" i="7" s="1"/>
  <c r="B241" i="7"/>
  <c r="C241" i="7" s="1"/>
  <c r="B237" i="7"/>
  <c r="C237" i="7" s="1"/>
  <c r="E237" i="7" s="1"/>
  <c r="B318" i="7"/>
  <c r="C318" i="7" s="1"/>
  <c r="E318" i="7" s="1"/>
  <c r="B310" i="7"/>
  <c r="C310" i="7" s="1"/>
  <c r="B302" i="7"/>
  <c r="C302" i="7" s="1"/>
  <c r="E302" i="7" s="1"/>
  <c r="B294" i="7"/>
  <c r="C294" i="7" s="1"/>
  <c r="E294" i="7" s="1"/>
  <c r="B286" i="7"/>
  <c r="C286" i="7" s="1"/>
  <c r="E286" i="7" s="1"/>
  <c r="B278" i="7"/>
  <c r="C278" i="7" s="1"/>
  <c r="B270" i="7"/>
  <c r="C270" i="7" s="1"/>
  <c r="E270" i="7" s="1"/>
  <c r="B262" i="7"/>
  <c r="C262" i="7" s="1"/>
  <c r="E262" i="7" s="1"/>
  <c r="B254" i="7"/>
  <c r="C254" i="7" s="1"/>
  <c r="E254" i="7" s="1"/>
  <c r="B246" i="7"/>
  <c r="C246" i="7" s="1"/>
  <c r="B238" i="7"/>
  <c r="C238" i="7" s="1"/>
  <c r="E238" i="7" s="1"/>
  <c r="B233" i="7"/>
  <c r="C233" i="7" s="1"/>
  <c r="B231" i="7"/>
  <c r="C231" i="7" s="1"/>
  <c r="E231" i="7" s="1"/>
  <c r="B229" i="7"/>
  <c r="C229" i="7" s="1"/>
  <c r="B227" i="7"/>
  <c r="C227" i="7" s="1"/>
  <c r="E227" i="7" s="1"/>
  <c r="B225" i="7"/>
  <c r="C225" i="7" s="1"/>
  <c r="E225" i="7" s="1"/>
  <c r="B223" i="7"/>
  <c r="C223" i="7" s="1"/>
  <c r="B221" i="7"/>
  <c r="C221" i="7" s="1"/>
  <c r="B219" i="7"/>
  <c r="C219" i="7" s="1"/>
  <c r="B217" i="7"/>
  <c r="C217" i="7" s="1"/>
  <c r="B215" i="7"/>
  <c r="C215" i="7" s="1"/>
  <c r="E215" i="7" s="1"/>
  <c r="B315" i="7"/>
  <c r="C315" i="7" s="1"/>
  <c r="B307" i="7"/>
  <c r="C307" i="7" s="1"/>
  <c r="E307" i="7" s="1"/>
  <c r="B299" i="7"/>
  <c r="C299" i="7" s="1"/>
  <c r="B291" i="7"/>
  <c r="C291" i="7" s="1"/>
  <c r="E291" i="7" s="1"/>
  <c r="B283" i="7"/>
  <c r="C283" i="7" s="1"/>
  <c r="B275" i="7"/>
  <c r="C275" i="7" s="1"/>
  <c r="E275" i="7" s="1"/>
  <c r="B267" i="7"/>
  <c r="C267" i="7" s="1"/>
  <c r="B259" i="7"/>
  <c r="C259" i="7" s="1"/>
  <c r="E259" i="7" s="1"/>
  <c r="B251" i="7"/>
  <c r="C251" i="7" s="1"/>
  <c r="B243" i="7"/>
  <c r="C243" i="7" s="1"/>
  <c r="E243" i="7" s="1"/>
  <c r="B235" i="7"/>
  <c r="C235" i="7" s="1"/>
  <c r="B213" i="7"/>
  <c r="C213" i="7" s="1"/>
  <c r="B212" i="7"/>
  <c r="C212" i="7" s="1"/>
  <c r="B211" i="7"/>
  <c r="C211" i="7" s="1"/>
  <c r="B210" i="7"/>
  <c r="C210" i="7" s="1"/>
  <c r="E210" i="7" s="1"/>
  <c r="B209" i="7"/>
  <c r="C209" i="7" s="1"/>
  <c r="E209" i="7" s="1"/>
  <c r="B208" i="7"/>
  <c r="C208" i="7" s="1"/>
  <c r="E208" i="7" s="1"/>
  <c r="B207" i="7"/>
  <c r="C207" i="7" s="1"/>
  <c r="E207" i="7" s="1"/>
  <c r="B206" i="7"/>
  <c r="C206" i="7" s="1"/>
  <c r="E206" i="7" s="1"/>
  <c r="B205" i="7"/>
  <c r="C205" i="7" s="1"/>
  <c r="E205" i="7" s="1"/>
  <c r="B204" i="7"/>
  <c r="C204" i="7" s="1"/>
  <c r="B203" i="7"/>
  <c r="C203" i="7" s="1"/>
  <c r="B202" i="7"/>
  <c r="C202" i="7" s="1"/>
  <c r="E202" i="7" s="1"/>
  <c r="B201" i="7"/>
  <c r="C201" i="7" s="1"/>
  <c r="E201" i="7" s="1"/>
  <c r="B200" i="7"/>
  <c r="C200" i="7" s="1"/>
  <c r="E200" i="7" s="1"/>
  <c r="B199" i="7"/>
  <c r="C199" i="7" s="1"/>
  <c r="E199" i="7" s="1"/>
  <c r="B198" i="7"/>
  <c r="C198" i="7" s="1"/>
  <c r="E198" i="7" s="1"/>
  <c r="B197" i="7"/>
  <c r="C197" i="7" s="1"/>
  <c r="B196" i="7"/>
  <c r="C196" i="7" s="1"/>
  <c r="B195" i="7"/>
  <c r="C195" i="7" s="1"/>
  <c r="B194" i="7"/>
  <c r="C194" i="7" s="1"/>
  <c r="E194" i="7" s="1"/>
  <c r="B193" i="7"/>
  <c r="C193" i="7" s="1"/>
  <c r="E193" i="7" s="1"/>
  <c r="B192" i="7"/>
  <c r="C192" i="7" s="1"/>
  <c r="E192" i="7" s="1"/>
  <c r="B191" i="7"/>
  <c r="C191" i="7" s="1"/>
  <c r="B190" i="7"/>
  <c r="C190" i="7" s="1"/>
  <c r="E190" i="7" s="1"/>
  <c r="B189" i="7"/>
  <c r="C189" i="7" s="1"/>
  <c r="B188" i="7"/>
  <c r="C188" i="7" s="1"/>
  <c r="B187" i="7"/>
  <c r="C187" i="7" s="1"/>
  <c r="B186" i="7"/>
  <c r="C186" i="7" s="1"/>
  <c r="E186" i="7" s="1"/>
  <c r="B185" i="7"/>
  <c r="C185" i="7" s="1"/>
  <c r="B184" i="7"/>
  <c r="C184" i="7" s="1"/>
  <c r="E184" i="7" s="1"/>
  <c r="B183" i="7"/>
  <c r="C183" i="7" s="1"/>
  <c r="E183" i="7" s="1"/>
  <c r="B182" i="7"/>
  <c r="C182" i="7" s="1"/>
  <c r="E182" i="7" s="1"/>
  <c r="B181" i="7"/>
  <c r="C181" i="7" s="1"/>
  <c r="E181" i="7" s="1"/>
  <c r="B180" i="7"/>
  <c r="C180" i="7" s="1"/>
  <c r="B179" i="7"/>
  <c r="C179" i="7" s="1"/>
  <c r="B178" i="7"/>
  <c r="C178" i="7" s="1"/>
  <c r="E178" i="7" s="1"/>
  <c r="B177" i="7"/>
  <c r="C177" i="7" s="1"/>
  <c r="E177" i="7" s="1"/>
  <c r="B306" i="7"/>
  <c r="C306" i="7" s="1"/>
  <c r="B290" i="7"/>
  <c r="C290" i="7" s="1"/>
  <c r="E290" i="7" s="1"/>
  <c r="B274" i="7"/>
  <c r="C274" i="7" s="1"/>
  <c r="E274" i="7" s="1"/>
  <c r="B258" i="7"/>
  <c r="C258" i="7" s="1"/>
  <c r="E258" i="7" s="1"/>
  <c r="B242" i="7"/>
  <c r="C242" i="7" s="1"/>
  <c r="B232" i="7"/>
  <c r="C232" i="7" s="1"/>
  <c r="E232" i="7" s="1"/>
  <c r="B228" i="7"/>
  <c r="C228" i="7" s="1"/>
  <c r="B224" i="7"/>
  <c r="C224" i="7" s="1"/>
  <c r="E224" i="7" s="1"/>
  <c r="B220" i="7"/>
  <c r="C220" i="7" s="1"/>
  <c r="B216" i="7"/>
  <c r="C216" i="7" s="1"/>
  <c r="E216" i="7" s="1"/>
  <c r="B175" i="7"/>
  <c r="C175" i="7" s="1"/>
  <c r="B173" i="7"/>
  <c r="C173" i="7" s="1"/>
  <c r="E173" i="7" s="1"/>
  <c r="B171" i="7"/>
  <c r="C171" i="7" s="1"/>
  <c r="B167" i="7"/>
  <c r="C167" i="7" s="1"/>
  <c r="B311" i="7"/>
  <c r="C311" i="7" s="1"/>
  <c r="E311" i="7" s="1"/>
  <c r="B295" i="7"/>
  <c r="C295" i="7" s="1"/>
  <c r="E295" i="7" s="1"/>
  <c r="B279" i="7"/>
  <c r="C279" i="7" s="1"/>
  <c r="B263" i="7"/>
  <c r="C263" i="7" s="1"/>
  <c r="E263" i="7" s="1"/>
  <c r="B247" i="7"/>
  <c r="C247" i="7" s="1"/>
  <c r="E247" i="7" s="1"/>
  <c r="B168" i="7"/>
  <c r="C168" i="7" s="1"/>
  <c r="E168" i="7" s="1"/>
  <c r="B314" i="7"/>
  <c r="C314" i="7" s="1"/>
  <c r="B298" i="7"/>
  <c r="C298" i="7" s="1"/>
  <c r="E298" i="7" s="1"/>
  <c r="B282" i="7"/>
  <c r="C282" i="7" s="1"/>
  <c r="E282" i="7" s="1"/>
  <c r="B266" i="7"/>
  <c r="C266" i="7" s="1"/>
  <c r="E266" i="7" s="1"/>
  <c r="B250" i="7"/>
  <c r="C250" i="7" s="1"/>
  <c r="B234" i="7"/>
  <c r="C234" i="7" s="1"/>
  <c r="E234" i="7" s="1"/>
  <c r="B230" i="7"/>
  <c r="C230" i="7" s="1"/>
  <c r="E230" i="7" s="1"/>
  <c r="B226" i="7"/>
  <c r="C226" i="7" s="1"/>
  <c r="E226" i="7" s="1"/>
  <c r="B222" i="7"/>
  <c r="C222" i="7" s="1"/>
  <c r="B218" i="7"/>
  <c r="C218" i="7" s="1"/>
  <c r="E218" i="7" s="1"/>
  <c r="B214" i="7"/>
  <c r="C214" i="7" s="1"/>
  <c r="E214" i="7" s="1"/>
  <c r="B174" i="7"/>
  <c r="C174" i="7" s="1"/>
  <c r="E174" i="7" s="1"/>
  <c r="B172" i="7"/>
  <c r="C172" i="7" s="1"/>
  <c r="B169" i="7"/>
  <c r="C169" i="7" s="1"/>
  <c r="E169" i="7" s="1"/>
  <c r="I13" i="7"/>
  <c r="J13" i="7" s="1"/>
  <c r="B16" i="7"/>
  <c r="C16" i="7" s="1"/>
  <c r="E16" i="7" s="1"/>
  <c r="B28" i="7"/>
  <c r="C28" i="7" s="1"/>
  <c r="B38" i="7"/>
  <c r="C38" i="7" s="1"/>
  <c r="E38" i="7" s="1"/>
  <c r="B39" i="7"/>
  <c r="C39" i="7" s="1"/>
  <c r="E39" i="7" s="1"/>
  <c r="B45" i="7"/>
  <c r="C45" i="7" s="1"/>
  <c r="E45" i="7" s="1"/>
  <c r="B53" i="7"/>
  <c r="C53" i="7" s="1"/>
  <c r="B60" i="7"/>
  <c r="C60" i="7" s="1"/>
  <c r="D60" i="7" s="1"/>
  <c r="B64" i="7"/>
  <c r="C64" i="7" s="1"/>
  <c r="B72" i="7"/>
  <c r="C72" i="7" s="1"/>
  <c r="B80" i="7"/>
  <c r="C80" i="7" s="1"/>
  <c r="B88" i="7"/>
  <c r="C88" i="7" s="1"/>
  <c r="D88" i="7" s="1"/>
  <c r="B96" i="7"/>
  <c r="C96" i="7" s="1"/>
  <c r="B104" i="7"/>
  <c r="C104" i="7" s="1"/>
  <c r="B108" i="7"/>
  <c r="C108" i="7" s="1"/>
  <c r="B116" i="7"/>
  <c r="C116" i="7" s="1"/>
  <c r="D116" i="7" s="1"/>
  <c r="B124" i="7"/>
  <c r="C124" i="7" s="1"/>
  <c r="B132" i="7"/>
  <c r="C132" i="7" s="1"/>
  <c r="B136" i="7"/>
  <c r="C136" i="7" s="1"/>
  <c r="B140" i="7"/>
  <c r="C140" i="7" s="1"/>
  <c r="D140" i="7" s="1"/>
  <c r="B144" i="7"/>
  <c r="C144" i="7" s="1"/>
  <c r="B148" i="7"/>
  <c r="C148" i="7" s="1"/>
  <c r="B152" i="7"/>
  <c r="C152" i="7" s="1"/>
  <c r="B156" i="7"/>
  <c r="C156" i="7" s="1"/>
  <c r="D156" i="7" s="1"/>
  <c r="B164" i="7"/>
  <c r="C164" i="7" s="1"/>
  <c r="B255" i="7"/>
  <c r="C255" i="7" s="1"/>
  <c r="E255" i="7" s="1"/>
  <c r="B17" i="7"/>
  <c r="C17" i="7" s="1"/>
  <c r="E17" i="7" s="1"/>
  <c r="B18" i="7"/>
  <c r="C18" i="7" s="1"/>
  <c r="E18" i="7" s="1"/>
  <c r="B19" i="7"/>
  <c r="C19" i="7" s="1"/>
  <c r="B20" i="7"/>
  <c r="C20" i="7" s="1"/>
  <c r="B21" i="7"/>
  <c r="C21" i="7" s="1"/>
  <c r="E21" i="7" s="1"/>
  <c r="B27" i="7"/>
  <c r="C27" i="7" s="1"/>
  <c r="E27" i="7" s="1"/>
  <c r="B42" i="7"/>
  <c r="C42" i="7" s="1"/>
  <c r="E42" i="7" s="1"/>
  <c r="B46" i="7"/>
  <c r="C46" i="7" s="1"/>
  <c r="B50" i="7"/>
  <c r="C50" i="7" s="1"/>
  <c r="E50" i="7" s="1"/>
  <c r="B55" i="7"/>
  <c r="C55" i="7" s="1"/>
  <c r="E55" i="7" s="1"/>
  <c r="B59" i="7"/>
  <c r="C59" i="7" s="1"/>
  <c r="E59" i="7" s="1"/>
  <c r="B63" i="7"/>
  <c r="C63" i="7" s="1"/>
  <c r="D63" i="7" s="1"/>
  <c r="B67" i="7"/>
  <c r="C67" i="7" s="1"/>
  <c r="D67" i="7" s="1"/>
  <c r="B71" i="7"/>
  <c r="C71" i="7" s="1"/>
  <c r="E71" i="7" s="1"/>
  <c r="B75" i="7"/>
  <c r="C75" i="7" s="1"/>
  <c r="E75" i="7" s="1"/>
  <c r="B79" i="7"/>
  <c r="C79" i="7" s="1"/>
  <c r="D79" i="7" s="1"/>
  <c r="B83" i="7"/>
  <c r="C83" i="7" s="1"/>
  <c r="D83" i="7" s="1"/>
  <c r="B87" i="7"/>
  <c r="C87" i="7" s="1"/>
  <c r="E87" i="7" s="1"/>
  <c r="B91" i="7"/>
  <c r="C91" i="7" s="1"/>
  <c r="E91" i="7" s="1"/>
  <c r="B95" i="7"/>
  <c r="C95" i="7" s="1"/>
  <c r="D95" i="7" s="1"/>
  <c r="B99" i="7"/>
  <c r="C99" i="7" s="1"/>
  <c r="D99" i="7" s="1"/>
  <c r="B103" i="7"/>
  <c r="C103" i="7" s="1"/>
  <c r="E103" i="7" s="1"/>
  <c r="B107" i="7"/>
  <c r="C107" i="7" s="1"/>
  <c r="E107" i="7" s="1"/>
  <c r="B111" i="7"/>
  <c r="C111" i="7" s="1"/>
  <c r="D111" i="7" s="1"/>
  <c r="B115" i="7"/>
  <c r="C115" i="7" s="1"/>
  <c r="D115" i="7" s="1"/>
  <c r="B119" i="7"/>
  <c r="C119" i="7" s="1"/>
  <c r="E119" i="7" s="1"/>
  <c r="B123" i="7"/>
  <c r="C123" i="7" s="1"/>
  <c r="E123" i="7" s="1"/>
  <c r="B127" i="7"/>
  <c r="C127" i="7" s="1"/>
  <c r="B131" i="7"/>
  <c r="C131" i="7" s="1"/>
  <c r="D131" i="7" s="1"/>
  <c r="B135" i="7"/>
  <c r="C135" i="7" s="1"/>
  <c r="E135" i="7" s="1"/>
  <c r="B139" i="7"/>
  <c r="C139" i="7" s="1"/>
  <c r="E139" i="7" s="1"/>
  <c r="B143" i="7"/>
  <c r="C143" i="7" s="1"/>
  <c r="B147" i="7"/>
  <c r="C147" i="7" s="1"/>
  <c r="D147" i="7" s="1"/>
  <c r="B151" i="7"/>
  <c r="C151" i="7" s="1"/>
  <c r="E151" i="7" s="1"/>
  <c r="B155" i="7"/>
  <c r="C155" i="7" s="1"/>
  <c r="E155" i="7" s="1"/>
  <c r="B159" i="7"/>
  <c r="C159" i="7" s="1"/>
  <c r="B163" i="7"/>
  <c r="C163" i="7" s="1"/>
  <c r="D163" i="7" s="1"/>
  <c r="B271" i="7"/>
  <c r="C271" i="7" s="1"/>
  <c r="E271" i="7" s="1"/>
  <c r="E1" i="3"/>
  <c r="I20" i="4"/>
  <c r="I33" i="4" s="1"/>
  <c r="B1" i="4"/>
  <c r="E10" i="4"/>
  <c r="B3" i="4"/>
  <c r="B17" i="4" s="1"/>
  <c r="C17" i="4" s="1"/>
  <c r="E4" i="4"/>
  <c r="I36" i="3"/>
  <c r="I35" i="3" s="1"/>
  <c r="I20" i="3"/>
  <c r="I33" i="3" s="1"/>
  <c r="E10" i="3"/>
  <c r="B12" i="3" s="1"/>
  <c r="B3" i="3"/>
  <c r="B244" i="3" s="1"/>
  <c r="C244" i="3" s="1"/>
  <c r="N13" i="3" s="1"/>
  <c r="E4" i="3"/>
  <c r="B7" i="4"/>
  <c r="I36" i="4"/>
  <c r="I35" i="4" s="1"/>
  <c r="C10" i="4"/>
  <c r="C1" i="4"/>
  <c r="C10" i="3"/>
  <c r="B7" i="3"/>
  <c r="C1" i="3"/>
  <c r="E5" i="3"/>
  <c r="A176" i="3" s="1"/>
  <c r="I20" i="2"/>
  <c r="I33" i="2" s="1"/>
  <c r="B1" i="2"/>
  <c r="E10" i="2"/>
  <c r="B12" i="2" s="1"/>
  <c r="B3" i="2"/>
  <c r="B174" i="2" s="1"/>
  <c r="C174" i="2" s="1"/>
  <c r="E4" i="2"/>
  <c r="I36" i="2"/>
  <c r="I35" i="2" s="1"/>
  <c r="C10" i="2"/>
  <c r="B7" i="2"/>
  <c r="C1" i="2"/>
  <c r="O24" i="1"/>
  <c r="E4" i="1"/>
  <c r="B1" i="1"/>
  <c r="E1" i="1" s="1"/>
  <c r="B3" i="1"/>
  <c r="B241" i="1" s="1"/>
  <c r="C241" i="1" s="1"/>
  <c r="B7" i="1"/>
  <c r="C1" i="1"/>
  <c r="E10" i="1"/>
  <c r="B12" i="1" s="1"/>
  <c r="C10" i="1"/>
  <c r="E5" i="4" l="1"/>
  <c r="A176" i="4" s="1"/>
  <c r="E1" i="4"/>
  <c r="I28" i="8"/>
  <c r="B143" i="3"/>
  <c r="C143" i="3" s="1"/>
  <c r="B262" i="3"/>
  <c r="C262" i="3" s="1"/>
  <c r="B101" i="3"/>
  <c r="C101" i="3" s="1"/>
  <c r="B279" i="3"/>
  <c r="C279" i="3" s="1"/>
  <c r="B238" i="3"/>
  <c r="C238" i="3" s="1"/>
  <c r="D238" i="3" s="1"/>
  <c r="B314" i="3"/>
  <c r="C314" i="3" s="1"/>
  <c r="B137" i="3"/>
  <c r="C137" i="3" s="1"/>
  <c r="B142" i="3"/>
  <c r="C142" i="3" s="1"/>
  <c r="B66" i="3"/>
  <c r="C66" i="3" s="1"/>
  <c r="B91" i="3"/>
  <c r="C91" i="3" s="1"/>
  <c r="B192" i="4"/>
  <c r="C192" i="4" s="1"/>
  <c r="O15" i="8"/>
  <c r="B60" i="3"/>
  <c r="C60" i="3" s="1"/>
  <c r="E60" i="3" s="1"/>
  <c r="B68" i="3"/>
  <c r="C68" i="3" s="1"/>
  <c r="B98" i="3"/>
  <c r="C98" i="3" s="1"/>
  <c r="B69" i="3"/>
  <c r="C69" i="3" s="1"/>
  <c r="B141" i="3"/>
  <c r="C141" i="3" s="1"/>
  <c r="B28" i="3"/>
  <c r="C28" i="3" s="1"/>
  <c r="B185" i="3"/>
  <c r="C185" i="3" s="1"/>
  <c r="B35" i="3"/>
  <c r="C35" i="3" s="1"/>
  <c r="B19" i="3"/>
  <c r="C19" i="3" s="1"/>
  <c r="E19" i="3" s="1"/>
  <c r="B21" i="3"/>
  <c r="C21" i="3" s="1"/>
  <c r="B48" i="3"/>
  <c r="C48" i="3" s="1"/>
  <c r="B222" i="3"/>
  <c r="C222" i="3" s="1"/>
  <c r="B192" i="2"/>
  <c r="C192" i="2" s="1"/>
  <c r="B217" i="3"/>
  <c r="C217" i="3" s="1"/>
  <c r="B89" i="2"/>
  <c r="C89" i="2" s="1"/>
  <c r="B27" i="3"/>
  <c r="C27" i="3" s="1"/>
  <c r="B237" i="3"/>
  <c r="C237" i="3" s="1"/>
  <c r="D237" i="3" s="1"/>
  <c r="B105" i="3"/>
  <c r="C105" i="3" s="1"/>
  <c r="B196" i="3"/>
  <c r="C196" i="3" s="1"/>
  <c r="B113" i="3"/>
  <c r="C113" i="3" s="1"/>
  <c r="B31" i="3"/>
  <c r="C31" i="3" s="1"/>
  <c r="B200" i="3"/>
  <c r="C200" i="3" s="1"/>
  <c r="B245" i="3"/>
  <c r="C245" i="3" s="1"/>
  <c r="B40" i="4"/>
  <c r="C40" i="4" s="1"/>
  <c r="B46" i="3"/>
  <c r="C46" i="3" s="1"/>
  <c r="E46" i="3" s="1"/>
  <c r="B130" i="3"/>
  <c r="C130" i="3" s="1"/>
  <c r="B94" i="3"/>
  <c r="C94" i="3" s="1"/>
  <c r="B311" i="3"/>
  <c r="C311" i="3" s="1"/>
  <c r="B252" i="3"/>
  <c r="C252" i="3" s="1"/>
  <c r="B51" i="3"/>
  <c r="C51" i="3" s="1"/>
  <c r="B40" i="3"/>
  <c r="C40" i="3" s="1"/>
  <c r="B161" i="3"/>
  <c r="C161" i="3" s="1"/>
  <c r="B201" i="3"/>
  <c r="C201" i="3" s="1"/>
  <c r="D201" i="3" s="1"/>
  <c r="B261" i="3"/>
  <c r="C261" i="3" s="1"/>
  <c r="B81" i="3"/>
  <c r="C81" i="3" s="1"/>
  <c r="B67" i="3"/>
  <c r="C67" i="3" s="1"/>
  <c r="B83" i="3"/>
  <c r="C83" i="3" s="1"/>
  <c r="B45" i="3"/>
  <c r="C45" i="3" s="1"/>
  <c r="B169" i="3"/>
  <c r="C169" i="3" s="1"/>
  <c r="B214" i="3"/>
  <c r="C214" i="3" s="1"/>
  <c r="B317" i="3"/>
  <c r="C317" i="3" s="1"/>
  <c r="D317" i="3" s="1"/>
  <c r="B55" i="3"/>
  <c r="C55" i="3" s="1"/>
  <c r="B58" i="3"/>
  <c r="C58" i="3" s="1"/>
  <c r="B93" i="3"/>
  <c r="C93" i="3" s="1"/>
  <c r="B36" i="3"/>
  <c r="C36" i="3" s="1"/>
  <c r="B84" i="3"/>
  <c r="C84" i="3" s="1"/>
  <c r="B186" i="3"/>
  <c r="C186" i="3" s="1"/>
  <c r="B175" i="3"/>
  <c r="C175" i="3" s="1"/>
  <c r="B227" i="3"/>
  <c r="C227" i="3" s="1"/>
  <c r="D227" i="3" s="1"/>
  <c r="B309" i="3"/>
  <c r="C309" i="3" s="1"/>
  <c r="B194" i="3"/>
  <c r="C194" i="3" s="1"/>
  <c r="B125" i="3"/>
  <c r="C125" i="3" s="1"/>
  <c r="B73" i="3"/>
  <c r="C73" i="3" s="1"/>
  <c r="B114" i="3"/>
  <c r="C114" i="3" s="1"/>
  <c r="B119" i="3"/>
  <c r="C119" i="3" s="1"/>
  <c r="B124" i="3"/>
  <c r="C124" i="3" s="1"/>
  <c r="B144" i="3"/>
  <c r="C144" i="3" s="1"/>
  <c r="D144" i="3" s="1"/>
  <c r="B207" i="3"/>
  <c r="C207" i="3" s="1"/>
  <c r="B272" i="3"/>
  <c r="C272" i="3" s="1"/>
  <c r="B278" i="3"/>
  <c r="C278" i="3" s="1"/>
  <c r="B16" i="3"/>
  <c r="C16" i="3" s="1"/>
  <c r="B133" i="3"/>
  <c r="C133" i="3" s="1"/>
  <c r="B79" i="3"/>
  <c r="C79" i="3" s="1"/>
  <c r="B118" i="3"/>
  <c r="C118" i="3" s="1"/>
  <c r="B127" i="3"/>
  <c r="C127" i="3" s="1"/>
  <c r="D127" i="3" s="1"/>
  <c r="B174" i="3"/>
  <c r="C174" i="3" s="1"/>
  <c r="B156" i="3"/>
  <c r="C156" i="3" s="1"/>
  <c r="B299" i="3"/>
  <c r="C299" i="3" s="1"/>
  <c r="B284" i="3"/>
  <c r="C284" i="3" s="1"/>
  <c r="B286" i="3"/>
  <c r="C286" i="3" s="1"/>
  <c r="B301" i="2"/>
  <c r="C301" i="2" s="1"/>
  <c r="B91" i="2"/>
  <c r="C91" i="2" s="1"/>
  <c r="I34" i="2"/>
  <c r="I38" i="2" s="1"/>
  <c r="B214" i="2"/>
  <c r="C214" i="2" s="1"/>
  <c r="E214" i="2" s="1"/>
  <c r="B285" i="2"/>
  <c r="C285" i="2" s="1"/>
  <c r="B163" i="2"/>
  <c r="C163" i="2" s="1"/>
  <c r="B48" i="2"/>
  <c r="C48" i="2" s="1"/>
  <c r="B315" i="2"/>
  <c r="C315" i="2" s="1"/>
  <c r="B59" i="3"/>
  <c r="C59" i="3" s="1"/>
  <c r="B54" i="3"/>
  <c r="C54" i="3" s="1"/>
  <c r="B89" i="3"/>
  <c r="C89" i="3" s="1"/>
  <c r="D89" i="3" s="1"/>
  <c r="B138" i="3"/>
  <c r="C138" i="3" s="1"/>
  <c r="B166" i="3"/>
  <c r="C166" i="3" s="1"/>
  <c r="B132" i="3"/>
  <c r="C132" i="3" s="1"/>
  <c r="B291" i="3"/>
  <c r="C291" i="3" s="1"/>
  <c r="B187" i="3"/>
  <c r="C187" i="3" s="1"/>
  <c r="D187" i="3" s="1"/>
  <c r="B231" i="3"/>
  <c r="C231" i="3" s="1"/>
  <c r="B293" i="3"/>
  <c r="C293" i="3" s="1"/>
  <c r="B15" i="3"/>
  <c r="C15" i="3" s="1"/>
  <c r="D15" i="3" s="1"/>
  <c r="B303" i="4"/>
  <c r="C303" i="4" s="1"/>
  <c r="B294" i="2"/>
  <c r="C294" i="2" s="1"/>
  <c r="B59" i="2"/>
  <c r="C59" i="2" s="1"/>
  <c r="B83" i="2"/>
  <c r="C83" i="2" s="1"/>
  <c r="E83" i="2" s="1"/>
  <c r="B81" i="4"/>
  <c r="C81" i="4" s="1"/>
  <c r="B254" i="2"/>
  <c r="C254" i="2" s="1"/>
  <c r="B50" i="2"/>
  <c r="C50" i="2" s="1"/>
  <c r="B304" i="2"/>
  <c r="C304" i="2" s="1"/>
  <c r="E304" i="2" s="1"/>
  <c r="B108" i="2"/>
  <c r="C108" i="2" s="1"/>
  <c r="B107" i="2"/>
  <c r="C107" i="2" s="1"/>
  <c r="E107" i="2" s="1"/>
  <c r="B117" i="2"/>
  <c r="C117" i="2" s="1"/>
  <c r="B63" i="3"/>
  <c r="C63" i="3" s="1"/>
  <c r="B158" i="3"/>
  <c r="C158" i="3" s="1"/>
  <c r="D158" i="3" s="1"/>
  <c r="B75" i="3"/>
  <c r="C75" i="3" s="1"/>
  <c r="B99" i="3"/>
  <c r="C99" i="3" s="1"/>
  <c r="B134" i="3"/>
  <c r="C134" i="3" s="1"/>
  <c r="E134" i="3" s="1"/>
  <c r="B39" i="3"/>
  <c r="C39" i="3" s="1"/>
  <c r="B135" i="3"/>
  <c r="C135" i="3" s="1"/>
  <c r="D135" i="3" s="1"/>
  <c r="B64" i="3"/>
  <c r="C64" i="3" s="1"/>
  <c r="B96" i="3"/>
  <c r="C96" i="3" s="1"/>
  <c r="B162" i="3"/>
  <c r="C162" i="3" s="1"/>
  <c r="D162" i="3" s="1"/>
  <c r="B165" i="3"/>
  <c r="C165" i="3" s="1"/>
  <c r="B198" i="3"/>
  <c r="C198" i="3" s="1"/>
  <c r="B148" i="3"/>
  <c r="C148" i="3" s="1"/>
  <c r="E148" i="3" s="1"/>
  <c r="B139" i="3"/>
  <c r="C139" i="3" s="1"/>
  <c r="B251" i="3"/>
  <c r="C251" i="3" s="1"/>
  <c r="B220" i="3"/>
  <c r="C220" i="3" s="1"/>
  <c r="B232" i="3"/>
  <c r="C232" i="3" s="1"/>
  <c r="B280" i="3"/>
  <c r="C280" i="3" s="1"/>
  <c r="B257" i="3"/>
  <c r="C257" i="3" s="1"/>
  <c r="B313" i="3"/>
  <c r="C313" i="3" s="1"/>
  <c r="B282" i="3"/>
  <c r="C282" i="3" s="1"/>
  <c r="D282" i="3" s="1"/>
  <c r="B20" i="3"/>
  <c r="C20" i="3" s="1"/>
  <c r="B275" i="2"/>
  <c r="C275" i="2" s="1"/>
  <c r="B292" i="2"/>
  <c r="C292" i="2" s="1"/>
  <c r="B197" i="2"/>
  <c r="C197" i="2" s="1"/>
  <c r="B121" i="2"/>
  <c r="C121" i="2" s="1"/>
  <c r="B102" i="2"/>
  <c r="C102" i="2" s="1"/>
  <c r="B127" i="2"/>
  <c r="C127" i="2" s="1"/>
  <c r="B35" i="2"/>
  <c r="C35" i="2" s="1"/>
  <c r="E35" i="2" s="1"/>
  <c r="B22" i="3"/>
  <c r="C22" i="3" s="1"/>
  <c r="B74" i="3"/>
  <c r="C74" i="3" s="1"/>
  <c r="D74" i="3" s="1"/>
  <c r="B106" i="3"/>
  <c r="C106" i="3" s="1"/>
  <c r="B271" i="3"/>
  <c r="C271" i="3" s="1"/>
  <c r="B173" i="3"/>
  <c r="C173" i="3" s="1"/>
  <c r="E173" i="3" s="1"/>
  <c r="B204" i="3"/>
  <c r="C204" i="3" s="1"/>
  <c r="B164" i="3"/>
  <c r="C164" i="3" s="1"/>
  <c r="B155" i="3"/>
  <c r="C155" i="3" s="1"/>
  <c r="E155" i="3" s="1"/>
  <c r="B193" i="3"/>
  <c r="C193" i="3" s="1"/>
  <c r="B315" i="3"/>
  <c r="C315" i="3" s="1"/>
  <c r="B223" i="3"/>
  <c r="C223" i="3" s="1"/>
  <c r="B242" i="3"/>
  <c r="C242" i="3" s="1"/>
  <c r="B292" i="3"/>
  <c r="C292" i="3" s="1"/>
  <c r="B265" i="3"/>
  <c r="C265" i="3" s="1"/>
  <c r="B240" i="3"/>
  <c r="C240" i="3" s="1"/>
  <c r="B298" i="3"/>
  <c r="C298" i="3" s="1"/>
  <c r="E298" i="3" s="1"/>
  <c r="B41" i="3"/>
  <c r="C41" i="3" s="1"/>
  <c r="B204" i="2"/>
  <c r="C204" i="2" s="1"/>
  <c r="B16" i="2"/>
  <c r="C16" i="2" s="1"/>
  <c r="B153" i="2"/>
  <c r="C153" i="2" s="1"/>
  <c r="B266" i="2"/>
  <c r="C266" i="2" s="1"/>
  <c r="B170" i="3"/>
  <c r="C170" i="3" s="1"/>
  <c r="B78" i="3"/>
  <c r="C78" i="3" s="1"/>
  <c r="B180" i="3"/>
  <c r="C180" i="3" s="1"/>
  <c r="D180" i="3" s="1"/>
  <c r="B163" i="3"/>
  <c r="C163" i="3" s="1"/>
  <c r="B300" i="3"/>
  <c r="C300" i="3" s="1"/>
  <c r="D300" i="3" s="1"/>
  <c r="B41" i="2"/>
  <c r="C41" i="2" s="1"/>
  <c r="B77" i="2"/>
  <c r="C77" i="2" s="1"/>
  <c r="B21" i="2"/>
  <c r="C21" i="2" s="1"/>
  <c r="E21" i="2" s="1"/>
  <c r="B227" i="2"/>
  <c r="C227" i="2" s="1"/>
  <c r="B224" i="2"/>
  <c r="C224" i="2" s="1"/>
  <c r="B187" i="2"/>
  <c r="C187" i="2" s="1"/>
  <c r="E187" i="2" s="1"/>
  <c r="B201" i="2"/>
  <c r="C201" i="2" s="1"/>
  <c r="B258" i="2"/>
  <c r="C258" i="2" s="1"/>
  <c r="E258" i="2" s="1"/>
  <c r="B107" i="3"/>
  <c r="C107" i="3" s="1"/>
  <c r="B53" i="3"/>
  <c r="C53" i="3" s="1"/>
  <c r="B24" i="3"/>
  <c r="C24" i="3" s="1"/>
  <c r="D24" i="3" s="1"/>
  <c r="B110" i="3"/>
  <c r="C110" i="3" s="1"/>
  <c r="B287" i="3"/>
  <c r="C287" i="3" s="1"/>
  <c r="B206" i="3"/>
  <c r="C206" i="3" s="1"/>
  <c r="E206" i="3" s="1"/>
  <c r="B168" i="3"/>
  <c r="C168" i="3" s="1"/>
  <c r="B197" i="3"/>
  <c r="C197" i="3" s="1"/>
  <c r="E197" i="3" s="1"/>
  <c r="B209" i="3"/>
  <c r="C209" i="3" s="1"/>
  <c r="B224" i="3"/>
  <c r="C224" i="3" s="1"/>
  <c r="B246" i="3"/>
  <c r="C246" i="3" s="1"/>
  <c r="D246" i="3" s="1"/>
  <c r="B277" i="3"/>
  <c r="C277" i="3" s="1"/>
  <c r="B250" i="3"/>
  <c r="C250" i="3" s="1"/>
  <c r="B302" i="3"/>
  <c r="C302" i="3" s="1"/>
  <c r="D302" i="3" s="1"/>
  <c r="B176" i="3"/>
  <c r="C176" i="3" s="1"/>
  <c r="B262" i="2"/>
  <c r="C262" i="2" s="1"/>
  <c r="B179" i="2"/>
  <c r="C179" i="2" s="1"/>
  <c r="B88" i="2"/>
  <c r="C88" i="2" s="1"/>
  <c r="B184" i="2"/>
  <c r="C184" i="2" s="1"/>
  <c r="E184" i="2" s="1"/>
  <c r="B273" i="2"/>
  <c r="C273" i="2" s="1"/>
  <c r="B295" i="2"/>
  <c r="C295" i="2" s="1"/>
  <c r="B43" i="3"/>
  <c r="C43" i="3" s="1"/>
  <c r="D43" i="3" s="1"/>
  <c r="B129" i="3"/>
  <c r="C129" i="3" s="1"/>
  <c r="B62" i="3"/>
  <c r="C62" i="3" s="1"/>
  <c r="B85" i="3"/>
  <c r="C85" i="3" s="1"/>
  <c r="B109" i="3"/>
  <c r="C109" i="3" s="1"/>
  <c r="B30" i="3"/>
  <c r="C30" i="3" s="1"/>
  <c r="B57" i="3"/>
  <c r="C57" i="3" s="1"/>
  <c r="B26" i="3"/>
  <c r="C26" i="3" s="1"/>
  <c r="B82" i="3"/>
  <c r="C82" i="3" s="1"/>
  <c r="E82" i="3" s="1"/>
  <c r="B112" i="3"/>
  <c r="C112" i="3" s="1"/>
  <c r="B303" i="3"/>
  <c r="C303" i="3" s="1"/>
  <c r="B182" i="3"/>
  <c r="C182" i="3" s="1"/>
  <c r="B208" i="3"/>
  <c r="C208" i="3" s="1"/>
  <c r="B243" i="3"/>
  <c r="C243" i="3" s="1"/>
  <c r="E243" i="3" s="1"/>
  <c r="B171" i="3"/>
  <c r="C171" i="3" s="1"/>
  <c r="B199" i="3"/>
  <c r="C199" i="3" s="1"/>
  <c r="B212" i="3"/>
  <c r="C212" i="3" s="1"/>
  <c r="D212" i="3" s="1"/>
  <c r="B225" i="3"/>
  <c r="C225" i="3" s="1"/>
  <c r="B249" i="3"/>
  <c r="C249" i="3" s="1"/>
  <c r="B304" i="3"/>
  <c r="C304" i="3" s="1"/>
  <c r="B285" i="3"/>
  <c r="C285" i="3" s="1"/>
  <c r="B258" i="3"/>
  <c r="C258" i="3" s="1"/>
  <c r="D258" i="3" s="1"/>
  <c r="B310" i="3"/>
  <c r="C310" i="3" s="1"/>
  <c r="B128" i="3"/>
  <c r="C128" i="3" s="1"/>
  <c r="B267" i="4"/>
  <c r="C267" i="4" s="1"/>
  <c r="B288" i="2"/>
  <c r="C288" i="2" s="1"/>
  <c r="B306" i="2"/>
  <c r="C306" i="2" s="1"/>
  <c r="B70" i="2"/>
  <c r="C70" i="2" s="1"/>
  <c r="B234" i="2"/>
  <c r="C234" i="2" s="1"/>
  <c r="E234" i="2" s="1"/>
  <c r="B317" i="2"/>
  <c r="C317" i="2" s="1"/>
  <c r="E317" i="2" s="1"/>
  <c r="B123" i="3"/>
  <c r="C123" i="3" s="1"/>
  <c r="B52" i="3"/>
  <c r="C52" i="3" s="1"/>
  <c r="B90" i="3"/>
  <c r="C90" i="3" s="1"/>
  <c r="E90" i="3" s="1"/>
  <c r="B145" i="3"/>
  <c r="C145" i="3" s="1"/>
  <c r="B190" i="3"/>
  <c r="C190" i="3" s="1"/>
  <c r="B307" i="3"/>
  <c r="C307" i="3" s="1"/>
  <c r="B295" i="3"/>
  <c r="C295" i="3" s="1"/>
  <c r="B179" i="3"/>
  <c r="C179" i="3" s="1"/>
  <c r="B203" i="3"/>
  <c r="C203" i="3" s="1"/>
  <c r="B215" i="3"/>
  <c r="C215" i="3" s="1"/>
  <c r="B228" i="3"/>
  <c r="C228" i="3" s="1"/>
  <c r="D228" i="3" s="1"/>
  <c r="B268" i="3"/>
  <c r="C268" i="3" s="1"/>
  <c r="B241" i="3"/>
  <c r="C241" i="3" s="1"/>
  <c r="B301" i="3"/>
  <c r="C301" i="3" s="1"/>
  <c r="B266" i="3"/>
  <c r="C266" i="3" s="1"/>
  <c r="B318" i="3"/>
  <c r="C318" i="3" s="1"/>
  <c r="D318" i="3" s="1"/>
  <c r="D132" i="3"/>
  <c r="B253" i="2"/>
  <c r="C253" i="2" s="1"/>
  <c r="B38" i="4"/>
  <c r="C38" i="4" s="1"/>
  <c r="B65" i="2"/>
  <c r="C65" i="2" s="1"/>
  <c r="B148" i="2"/>
  <c r="C148" i="2" s="1"/>
  <c r="B223" i="2"/>
  <c r="C223" i="2" s="1"/>
  <c r="E223" i="2" s="1"/>
  <c r="B283" i="2"/>
  <c r="C283" i="2" s="1"/>
  <c r="E283" i="2" s="1"/>
  <c r="B74" i="2"/>
  <c r="C74" i="2" s="1"/>
  <c r="B255" i="2"/>
  <c r="C255" i="2" s="1"/>
  <c r="B310" i="2"/>
  <c r="C310" i="2" s="1"/>
  <c r="B135" i="2"/>
  <c r="C135" i="2" s="1"/>
  <c r="E135" i="2" s="1"/>
  <c r="B140" i="2"/>
  <c r="C140" i="2" s="1"/>
  <c r="B242" i="2"/>
  <c r="C242" i="2" s="1"/>
  <c r="E242" i="2" s="1"/>
  <c r="B216" i="2"/>
  <c r="C216" i="2" s="1"/>
  <c r="B96" i="2"/>
  <c r="C96" i="2" s="1"/>
  <c r="E96" i="2" s="1"/>
  <c r="B29" i="2"/>
  <c r="C29" i="2" s="1"/>
  <c r="B46" i="2"/>
  <c r="C46" i="2" s="1"/>
  <c r="B25" i="2"/>
  <c r="C25" i="2" s="1"/>
  <c r="B191" i="2"/>
  <c r="C191" i="2" s="1"/>
  <c r="E191" i="2" s="1"/>
  <c r="B256" i="2"/>
  <c r="C256" i="2" s="1"/>
  <c r="B147" i="2"/>
  <c r="C147" i="2" s="1"/>
  <c r="B172" i="2"/>
  <c r="C172" i="2" s="1"/>
  <c r="D26" i="3"/>
  <c r="E241" i="1"/>
  <c r="B126" i="2"/>
  <c r="C126" i="2" s="1"/>
  <c r="B124" i="2"/>
  <c r="C124" i="2" s="1"/>
  <c r="E124" i="2" s="1"/>
  <c r="I13" i="2"/>
  <c r="J13" i="2" s="1"/>
  <c r="B30" i="2"/>
  <c r="C30" i="2" s="1"/>
  <c r="B178" i="2"/>
  <c r="C178" i="2" s="1"/>
  <c r="E178" i="2" s="1"/>
  <c r="B233" i="2"/>
  <c r="C233" i="2" s="1"/>
  <c r="B106" i="2"/>
  <c r="C106" i="2" s="1"/>
  <c r="B286" i="2"/>
  <c r="C286" i="2" s="1"/>
  <c r="B33" i="2"/>
  <c r="C33" i="2" s="1"/>
  <c r="B316" i="2"/>
  <c r="C316" i="2" s="1"/>
  <c r="B72" i="2"/>
  <c r="C72" i="2" s="1"/>
  <c r="E72" i="2" s="1"/>
  <c r="B80" i="2"/>
  <c r="C80" i="2" s="1"/>
  <c r="B47" i="2"/>
  <c r="C47" i="2" s="1"/>
  <c r="B78" i="2"/>
  <c r="C78" i="2" s="1"/>
  <c r="B159" i="2"/>
  <c r="C159" i="2" s="1"/>
  <c r="E159" i="2" s="1"/>
  <c r="B225" i="2"/>
  <c r="C225" i="2" s="1"/>
  <c r="B278" i="2"/>
  <c r="C278" i="2" s="1"/>
  <c r="B206" i="2"/>
  <c r="C206" i="2" s="1"/>
  <c r="D284" i="3"/>
  <c r="B86" i="4"/>
  <c r="C86" i="4" s="1"/>
  <c r="B200" i="2"/>
  <c r="C200" i="2" s="1"/>
  <c r="B277" i="2"/>
  <c r="C277" i="2" s="1"/>
  <c r="B146" i="2"/>
  <c r="C146" i="2" s="1"/>
  <c r="E146" i="2" s="1"/>
  <c r="B185" i="2"/>
  <c r="C185" i="2" s="1"/>
  <c r="B240" i="2"/>
  <c r="C240" i="2" s="1"/>
  <c r="B218" i="2"/>
  <c r="C218" i="2" s="1"/>
  <c r="B202" i="2"/>
  <c r="C202" i="2" s="1"/>
  <c r="E202" i="2" s="1"/>
  <c r="B152" i="2"/>
  <c r="C152" i="2" s="1"/>
  <c r="E152" i="2" s="1"/>
  <c r="B175" i="2"/>
  <c r="C175" i="2" s="1"/>
  <c r="E175" i="2" s="1"/>
  <c r="B49" i="2"/>
  <c r="C49" i="2" s="1"/>
  <c r="E49" i="2" s="1"/>
  <c r="B195" i="2"/>
  <c r="C195" i="2" s="1"/>
  <c r="B264" i="2"/>
  <c r="C264" i="2" s="1"/>
  <c r="B284" i="2"/>
  <c r="C284" i="2" s="1"/>
  <c r="B23" i="2"/>
  <c r="C23" i="2" s="1"/>
  <c r="B141" i="2"/>
  <c r="C141" i="2" s="1"/>
  <c r="E141" i="2" s="1"/>
  <c r="B166" i="2"/>
  <c r="C166" i="2" s="1"/>
  <c r="B98" i="2"/>
  <c r="C98" i="2" s="1"/>
  <c r="B103" i="2"/>
  <c r="C103" i="2" s="1"/>
  <c r="B299" i="2"/>
  <c r="C299" i="2" s="1"/>
  <c r="E299" i="2" s="1"/>
  <c r="B73" i="2"/>
  <c r="C73" i="2" s="1"/>
  <c r="B93" i="2"/>
  <c r="C93" i="2" s="1"/>
  <c r="B189" i="2"/>
  <c r="C189" i="2" s="1"/>
  <c r="B75" i="2"/>
  <c r="C75" i="2" s="1"/>
  <c r="B303" i="2"/>
  <c r="C303" i="2" s="1"/>
  <c r="B22" i="2"/>
  <c r="C22" i="2" s="1"/>
  <c r="E22" i="2" s="1"/>
  <c r="B44" i="2"/>
  <c r="C44" i="2" s="1"/>
  <c r="E44" i="2" s="1"/>
  <c r="B64" i="2"/>
  <c r="C64" i="2" s="1"/>
  <c r="B40" i="2"/>
  <c r="C40" i="2" s="1"/>
  <c r="E40" i="2" s="1"/>
  <c r="B248" i="2"/>
  <c r="C248" i="2" s="1"/>
  <c r="B57" i="2"/>
  <c r="C57" i="2" s="1"/>
  <c r="B34" i="2"/>
  <c r="C34" i="2" s="1"/>
  <c r="E34" i="2" s="1"/>
  <c r="B257" i="2"/>
  <c r="C257" i="2" s="1"/>
  <c r="B63" i="2"/>
  <c r="C63" i="2" s="1"/>
  <c r="B45" i="2"/>
  <c r="C45" i="2" s="1"/>
  <c r="B110" i="2"/>
  <c r="C110" i="2" s="1"/>
  <c r="B69" i="2"/>
  <c r="C69" i="2" s="1"/>
  <c r="B198" i="2"/>
  <c r="C198" i="2" s="1"/>
  <c r="B267" i="2"/>
  <c r="C267" i="2" s="1"/>
  <c r="B313" i="2"/>
  <c r="C313" i="2" s="1"/>
  <c r="E313" i="2" s="1"/>
  <c r="B222" i="2"/>
  <c r="C222" i="2" s="1"/>
  <c r="B38" i="3"/>
  <c r="C38" i="3" s="1"/>
  <c r="B117" i="3"/>
  <c r="C117" i="3" s="1"/>
  <c r="D117" i="3" s="1"/>
  <c r="B50" i="3"/>
  <c r="C50" i="3" s="1"/>
  <c r="E50" i="3" s="1"/>
  <c r="B77" i="3"/>
  <c r="C77" i="3" s="1"/>
  <c r="B97" i="3"/>
  <c r="C97" i="3" s="1"/>
  <c r="B122" i="3"/>
  <c r="C122" i="3" s="1"/>
  <c r="B32" i="3"/>
  <c r="C32" i="3" s="1"/>
  <c r="E32" i="3" s="1"/>
  <c r="B65" i="3"/>
  <c r="C65" i="3" s="1"/>
  <c r="B25" i="3"/>
  <c r="C25" i="3" s="1"/>
  <c r="B76" i="3"/>
  <c r="C76" i="3" s="1"/>
  <c r="D76" i="3" s="1"/>
  <c r="B102" i="3"/>
  <c r="C102" i="3" s="1"/>
  <c r="B146" i="3"/>
  <c r="C146" i="3" s="1"/>
  <c r="B153" i="3"/>
  <c r="C153" i="3" s="1"/>
  <c r="B188" i="3"/>
  <c r="C188" i="3" s="1"/>
  <c r="B275" i="3"/>
  <c r="C275" i="3" s="1"/>
  <c r="E275" i="3" s="1"/>
  <c r="B172" i="3"/>
  <c r="C172" i="3" s="1"/>
  <c r="B159" i="3"/>
  <c r="C159" i="3" s="1"/>
  <c r="B191" i="3"/>
  <c r="C191" i="3" s="1"/>
  <c r="D191" i="3" s="1"/>
  <c r="B267" i="3"/>
  <c r="C267" i="3" s="1"/>
  <c r="B218" i="3"/>
  <c r="C218" i="3" s="1"/>
  <c r="B230" i="3"/>
  <c r="C230" i="3" s="1"/>
  <c r="E230" i="3" s="1"/>
  <c r="B256" i="3"/>
  <c r="C256" i="3" s="1"/>
  <c r="B308" i="3"/>
  <c r="C308" i="3" s="1"/>
  <c r="E308" i="3" s="1"/>
  <c r="B281" i="3"/>
  <c r="C281" i="3" s="1"/>
  <c r="B248" i="3"/>
  <c r="C248" i="3" s="1"/>
  <c r="E248" i="3" s="1"/>
  <c r="B294" i="3"/>
  <c r="C294" i="3" s="1"/>
  <c r="E294" i="3" s="1"/>
  <c r="B18" i="3"/>
  <c r="C18" i="3" s="1"/>
  <c r="B98" i="4"/>
  <c r="C98" i="4" s="1"/>
  <c r="E41" i="2"/>
  <c r="E70" i="2"/>
  <c r="E174" i="2"/>
  <c r="B136" i="4"/>
  <c r="C136" i="4" s="1"/>
  <c r="B19" i="2"/>
  <c r="C19" i="2" s="1"/>
  <c r="E19" i="2" s="1"/>
  <c r="B26" i="2"/>
  <c r="C26" i="2" s="1"/>
  <c r="B79" i="2"/>
  <c r="C79" i="2" s="1"/>
  <c r="E79" i="2" s="1"/>
  <c r="B246" i="2"/>
  <c r="C246" i="2" s="1"/>
  <c r="E246" i="2" s="1"/>
  <c r="B61" i="2"/>
  <c r="C61" i="2" s="1"/>
  <c r="E61" i="2" s="1"/>
  <c r="B270" i="2"/>
  <c r="C270" i="2" s="1"/>
  <c r="B132" i="2"/>
  <c r="C132" i="2" s="1"/>
  <c r="E132" i="2" s="1"/>
  <c r="B272" i="2"/>
  <c r="C272" i="2" s="1"/>
  <c r="E272" i="2" s="1"/>
  <c r="B76" i="2"/>
  <c r="C76" i="2" s="1"/>
  <c r="E76" i="2" s="1"/>
  <c r="B226" i="2"/>
  <c r="C226" i="2" s="1"/>
  <c r="B211" i="2"/>
  <c r="C211" i="2" s="1"/>
  <c r="B138" i="2"/>
  <c r="C138" i="2" s="1"/>
  <c r="E138" i="2" s="1"/>
  <c r="B274" i="2"/>
  <c r="C274" i="2" s="1"/>
  <c r="B228" i="2"/>
  <c r="C228" i="2" s="1"/>
  <c r="B109" i="2"/>
  <c r="C109" i="2" s="1"/>
  <c r="E109" i="2" s="1"/>
  <c r="B137" i="2"/>
  <c r="C137" i="2" s="1"/>
  <c r="B247" i="2"/>
  <c r="C247" i="2" s="1"/>
  <c r="B160" i="2"/>
  <c r="C160" i="2" s="1"/>
  <c r="E160" i="2" s="1"/>
  <c r="D175" i="3"/>
  <c r="D293" i="3"/>
  <c r="D311" i="3"/>
  <c r="E217" i="3"/>
  <c r="D204" i="3"/>
  <c r="D314" i="3"/>
  <c r="D281" i="3"/>
  <c r="E182" i="3"/>
  <c r="B105" i="2"/>
  <c r="C105" i="2" s="1"/>
  <c r="E105" i="2" s="1"/>
  <c r="B287" i="2"/>
  <c r="C287" i="2" s="1"/>
  <c r="E287" i="2" s="1"/>
  <c r="B84" i="2"/>
  <c r="C84" i="2" s="1"/>
  <c r="E84" i="2" s="1"/>
  <c r="B39" i="2"/>
  <c r="C39" i="2" s="1"/>
  <c r="E39" i="2" s="1"/>
  <c r="B94" i="2"/>
  <c r="C94" i="2" s="1"/>
  <c r="B232" i="2"/>
  <c r="C232" i="2" s="1"/>
  <c r="B186" i="2"/>
  <c r="C186" i="2" s="1"/>
  <c r="B307" i="2"/>
  <c r="C307" i="2" s="1"/>
  <c r="B236" i="2"/>
  <c r="C236" i="2" s="1"/>
  <c r="E236" i="2" s="1"/>
  <c r="B119" i="2"/>
  <c r="C119" i="2" s="1"/>
  <c r="E119" i="2" s="1"/>
  <c r="B145" i="2"/>
  <c r="C145" i="2" s="1"/>
  <c r="B279" i="2"/>
  <c r="C279" i="2" s="1"/>
  <c r="B170" i="2"/>
  <c r="C170" i="2" s="1"/>
  <c r="E170" i="2" s="1"/>
  <c r="B104" i="2"/>
  <c r="C104" i="2" s="1"/>
  <c r="D261" i="3"/>
  <c r="D193" i="3"/>
  <c r="D112" i="3"/>
  <c r="D141" i="3"/>
  <c r="B193" i="2"/>
  <c r="C193" i="2" s="1"/>
  <c r="E193" i="2" s="1"/>
  <c r="B31" i="2"/>
  <c r="C31" i="2" s="1"/>
  <c r="E31" i="2" s="1"/>
  <c r="B134" i="2"/>
  <c r="C134" i="2" s="1"/>
  <c r="E134" i="2" s="1"/>
  <c r="B305" i="2"/>
  <c r="C305" i="2" s="1"/>
  <c r="B116" i="2"/>
  <c r="C116" i="2" s="1"/>
  <c r="E116" i="2" s="1"/>
  <c r="B71" i="2"/>
  <c r="C71" i="2" s="1"/>
  <c r="B196" i="2"/>
  <c r="C196" i="2" s="1"/>
  <c r="B37" i="2"/>
  <c r="C37" i="2" s="1"/>
  <c r="B180" i="2"/>
  <c r="C180" i="2" s="1"/>
  <c r="E180" i="2" s="1"/>
  <c r="B112" i="2"/>
  <c r="C112" i="2" s="1"/>
  <c r="B269" i="2"/>
  <c r="C269" i="2" s="1"/>
  <c r="E269" i="2" s="1"/>
  <c r="B220" i="2"/>
  <c r="C220" i="2" s="1"/>
  <c r="E220" i="2" s="1"/>
  <c r="B120" i="2"/>
  <c r="C120" i="2" s="1"/>
  <c r="E120" i="2" s="1"/>
  <c r="B260" i="2"/>
  <c r="C260" i="2" s="1"/>
  <c r="B125" i="2"/>
  <c r="C125" i="2" s="1"/>
  <c r="E125" i="2" s="1"/>
  <c r="B190" i="2"/>
  <c r="C190" i="2" s="1"/>
  <c r="B314" i="2"/>
  <c r="C314" i="2" s="1"/>
  <c r="D118" i="3"/>
  <c r="B158" i="2"/>
  <c r="C158" i="2" s="1"/>
  <c r="E158" i="2" s="1"/>
  <c r="B282" i="2"/>
  <c r="C282" i="2" s="1"/>
  <c r="E282" i="2" s="1"/>
  <c r="B199" i="2"/>
  <c r="C199" i="2" s="1"/>
  <c r="E199" i="2" s="1"/>
  <c r="B133" i="2"/>
  <c r="C133" i="2" s="1"/>
  <c r="B111" i="2"/>
  <c r="C111" i="2" s="1"/>
  <c r="B249" i="2"/>
  <c r="C249" i="2" s="1"/>
  <c r="E249" i="2" s="1"/>
  <c r="B155" i="2"/>
  <c r="C155" i="2" s="1"/>
  <c r="B252" i="2"/>
  <c r="C252" i="2" s="1"/>
  <c r="E252" i="2" s="1"/>
  <c r="B173" i="2"/>
  <c r="C173" i="2" s="1"/>
  <c r="E173" i="2" s="1"/>
  <c r="B251" i="2"/>
  <c r="C251" i="2" s="1"/>
  <c r="E251" i="2" s="1"/>
  <c r="B144" i="2"/>
  <c r="C144" i="2" s="1"/>
  <c r="B209" i="2"/>
  <c r="C209" i="2" s="1"/>
  <c r="B85" i="2"/>
  <c r="C85" i="2" s="1"/>
  <c r="B308" i="2"/>
  <c r="C308" i="2" s="1"/>
  <c r="E308" i="2" s="1"/>
  <c r="B213" i="2"/>
  <c r="C213" i="2" s="1"/>
  <c r="B100" i="2"/>
  <c r="C100" i="2" s="1"/>
  <c r="E100" i="2" s="1"/>
  <c r="B276" i="2"/>
  <c r="C276" i="2" s="1"/>
  <c r="B99" i="2"/>
  <c r="C99" i="2" s="1"/>
  <c r="E99" i="2" s="1"/>
  <c r="B18" i="2"/>
  <c r="C18" i="2" s="1"/>
  <c r="E18" i="2" s="1"/>
  <c r="B219" i="2"/>
  <c r="C219" i="2" s="1"/>
  <c r="E219" i="2" s="1"/>
  <c r="B86" i="2"/>
  <c r="C86" i="2" s="1"/>
  <c r="E86" i="2" s="1"/>
  <c r="B27" i="2"/>
  <c r="C27" i="2" s="1"/>
  <c r="B101" i="2"/>
  <c r="C101" i="2" s="1"/>
  <c r="B56" i="2"/>
  <c r="C56" i="2" s="1"/>
  <c r="B43" i="2"/>
  <c r="C43" i="2" s="1"/>
  <c r="B17" i="2"/>
  <c r="C17" i="2" s="1"/>
  <c r="B171" i="2"/>
  <c r="C171" i="2" s="1"/>
  <c r="B20" i="2"/>
  <c r="C20" i="2" s="1"/>
  <c r="B82" i="2"/>
  <c r="C82" i="2" s="1"/>
  <c r="B265" i="2"/>
  <c r="C265" i="2" s="1"/>
  <c r="E265" i="2" s="1"/>
  <c r="B81" i="2"/>
  <c r="C81" i="2" s="1"/>
  <c r="E81" i="2" s="1"/>
  <c r="B32" i="2"/>
  <c r="C32" i="2" s="1"/>
  <c r="E32" i="2" s="1"/>
  <c r="B208" i="2"/>
  <c r="C208" i="2" s="1"/>
  <c r="B154" i="2"/>
  <c r="C154" i="2" s="1"/>
  <c r="E154" i="2" s="1"/>
  <c r="B58" i="2"/>
  <c r="C58" i="2" s="1"/>
  <c r="E58" i="2" s="1"/>
  <c r="B309" i="2"/>
  <c r="C309" i="2" s="1"/>
  <c r="E309" i="2" s="1"/>
  <c r="B238" i="2"/>
  <c r="C238" i="2" s="1"/>
  <c r="E238" i="2" s="1"/>
  <c r="B143" i="2"/>
  <c r="C143" i="2" s="1"/>
  <c r="B123" i="2"/>
  <c r="C123" i="2" s="1"/>
  <c r="B293" i="2"/>
  <c r="C293" i="2" s="1"/>
  <c r="E293" i="2" s="1"/>
  <c r="B207" i="2"/>
  <c r="C207" i="2" s="1"/>
  <c r="E207" i="2" s="1"/>
  <c r="B296" i="2"/>
  <c r="C296" i="2" s="1"/>
  <c r="E296" i="2" s="1"/>
  <c r="B212" i="2"/>
  <c r="C212" i="2" s="1"/>
  <c r="B280" i="2"/>
  <c r="C280" i="2" s="1"/>
  <c r="E280" i="2" s="1"/>
  <c r="B203" i="2"/>
  <c r="C203" i="2" s="1"/>
  <c r="B24" i="2"/>
  <c r="C24" i="2" s="1"/>
  <c r="E24" i="2" s="1"/>
  <c r="B114" i="2"/>
  <c r="C114" i="2" s="1"/>
  <c r="E114" i="2" s="1"/>
  <c r="B261" i="2"/>
  <c r="C261" i="2" s="1"/>
  <c r="E261" i="2" s="1"/>
  <c r="B188" i="2"/>
  <c r="C188" i="2" s="1"/>
  <c r="E188" i="2" s="1"/>
  <c r="B62" i="2"/>
  <c r="C62" i="2" s="1"/>
  <c r="E62" i="2" s="1"/>
  <c r="B157" i="2"/>
  <c r="C157" i="2" s="1"/>
  <c r="B52" i="2"/>
  <c r="C52" i="2" s="1"/>
  <c r="B281" i="2"/>
  <c r="C281" i="2" s="1"/>
  <c r="B130" i="2"/>
  <c r="C130" i="2" s="1"/>
  <c r="B54" i="2"/>
  <c r="C54" i="2" s="1"/>
  <c r="E54" i="2" s="1"/>
  <c r="B51" i="2"/>
  <c r="C51" i="2" s="1"/>
  <c r="E51" i="2" s="1"/>
  <c r="B268" i="2"/>
  <c r="C268" i="2" s="1"/>
  <c r="E268" i="2" s="1"/>
  <c r="B235" i="2"/>
  <c r="C235" i="2" s="1"/>
  <c r="E235" i="2" s="1"/>
  <c r="B259" i="2"/>
  <c r="C259" i="2" s="1"/>
  <c r="B90" i="2"/>
  <c r="C90" i="2" s="1"/>
  <c r="B229" i="2"/>
  <c r="C229" i="2" s="1"/>
  <c r="B28" i="2"/>
  <c r="C28" i="2" s="1"/>
  <c r="B142" i="2"/>
  <c r="C142" i="2" s="1"/>
  <c r="E142" i="2" s="1"/>
  <c r="B239" i="2"/>
  <c r="C239" i="2" s="1"/>
  <c r="B87" i="2"/>
  <c r="C87" i="2" s="1"/>
  <c r="B161" i="2"/>
  <c r="C161" i="2" s="1"/>
  <c r="E161" i="2" s="1"/>
  <c r="B36" i="2"/>
  <c r="C36" i="2" s="1"/>
  <c r="E36" i="2" s="1"/>
  <c r="B241" i="2"/>
  <c r="C241" i="2" s="1"/>
  <c r="B97" i="2"/>
  <c r="C97" i="2" s="1"/>
  <c r="E97" i="2" s="1"/>
  <c r="B243" i="2"/>
  <c r="C243" i="2" s="1"/>
  <c r="E243" i="2" s="1"/>
  <c r="B53" i="2"/>
  <c r="C53" i="2" s="1"/>
  <c r="B205" i="2"/>
  <c r="C205" i="2" s="1"/>
  <c r="B177" i="2"/>
  <c r="C177" i="2" s="1"/>
  <c r="E177" i="2" s="1"/>
  <c r="B291" i="2"/>
  <c r="C291" i="2" s="1"/>
  <c r="E291" i="2" s="1"/>
  <c r="B245" i="2"/>
  <c r="C245" i="2" s="1"/>
  <c r="B181" i="2"/>
  <c r="C181" i="2" s="1"/>
  <c r="B300" i="2"/>
  <c r="C300" i="2" s="1"/>
  <c r="E300" i="2" s="1"/>
  <c r="B129" i="2"/>
  <c r="C129" i="2" s="1"/>
  <c r="B215" i="2"/>
  <c r="C215" i="2" s="1"/>
  <c r="E215" i="2" s="1"/>
  <c r="B312" i="2"/>
  <c r="C312" i="2" s="1"/>
  <c r="E312" i="2" s="1"/>
  <c r="D123" i="3"/>
  <c r="D98" i="3"/>
  <c r="E271" i="3"/>
  <c r="E108" i="2"/>
  <c r="B95" i="3"/>
  <c r="C95" i="3" s="1"/>
  <c r="D95" i="3" s="1"/>
  <c r="B111" i="3"/>
  <c r="C111" i="3" s="1"/>
  <c r="D111" i="3" s="1"/>
  <c r="B154" i="3"/>
  <c r="C154" i="3" s="1"/>
  <c r="D154" i="3" s="1"/>
  <c r="B33" i="3"/>
  <c r="C33" i="3" s="1"/>
  <c r="D33" i="3" s="1"/>
  <c r="B49" i="3"/>
  <c r="C49" i="3" s="1"/>
  <c r="E49" i="3" s="1"/>
  <c r="B131" i="3"/>
  <c r="C131" i="3" s="1"/>
  <c r="B34" i="3"/>
  <c r="C34" i="3" s="1"/>
  <c r="D34" i="3" s="1"/>
  <c r="B72" i="3"/>
  <c r="C72" i="3" s="1"/>
  <c r="B92" i="3"/>
  <c r="C92" i="3" s="1"/>
  <c r="E92" i="3" s="1"/>
  <c r="B108" i="3"/>
  <c r="C108" i="3" s="1"/>
  <c r="B136" i="3"/>
  <c r="C136" i="3" s="1"/>
  <c r="D136" i="3" s="1"/>
  <c r="B192" i="3"/>
  <c r="C192" i="3" s="1"/>
  <c r="D192" i="3" s="1"/>
  <c r="B259" i="3"/>
  <c r="C259" i="3" s="1"/>
  <c r="E259" i="3" s="1"/>
  <c r="B160" i="3"/>
  <c r="C160" i="3" s="1"/>
  <c r="D160" i="3" s="1"/>
  <c r="B167" i="3"/>
  <c r="C167" i="3" s="1"/>
  <c r="D167" i="3" s="1"/>
  <c r="B189" i="3"/>
  <c r="C189" i="3" s="1"/>
  <c r="B205" i="3"/>
  <c r="C205" i="3" s="1"/>
  <c r="D205" i="3" s="1"/>
  <c r="B210" i="3"/>
  <c r="C210" i="3" s="1"/>
  <c r="D210" i="3" s="1"/>
  <c r="B221" i="3"/>
  <c r="C221" i="3" s="1"/>
  <c r="D221" i="3" s="1"/>
  <c r="B229" i="3"/>
  <c r="C229" i="3" s="1"/>
  <c r="E229" i="3" s="1"/>
  <c r="B276" i="3"/>
  <c r="C276" i="3" s="1"/>
  <c r="E276" i="3" s="1"/>
  <c r="B312" i="3"/>
  <c r="C312" i="3" s="1"/>
  <c r="B273" i="3"/>
  <c r="C273" i="3" s="1"/>
  <c r="D273" i="3" s="1"/>
  <c r="B305" i="3"/>
  <c r="C305" i="3" s="1"/>
  <c r="B254" i="3"/>
  <c r="C254" i="3" s="1"/>
  <c r="D254" i="3" s="1"/>
  <c r="B290" i="3"/>
  <c r="C290" i="3" s="1"/>
  <c r="D290" i="3" s="1"/>
  <c r="I13" i="3"/>
  <c r="J13" i="3" s="1"/>
  <c r="B88" i="3"/>
  <c r="C88" i="3" s="1"/>
  <c r="B208" i="4"/>
  <c r="C208" i="4" s="1"/>
  <c r="I34" i="4"/>
  <c r="I38" i="4" s="1"/>
  <c r="E85" i="3"/>
  <c r="D101" i="3"/>
  <c r="B34" i="4"/>
  <c r="C34" i="4" s="1"/>
  <c r="B106" i="4"/>
  <c r="C106" i="4" s="1"/>
  <c r="E140" i="2"/>
  <c r="E122" i="3"/>
  <c r="E198" i="2"/>
  <c r="B47" i="3"/>
  <c r="C47" i="3" s="1"/>
  <c r="B121" i="3"/>
  <c r="C121" i="3" s="1"/>
  <c r="D121" i="3" s="1"/>
  <c r="B42" i="3"/>
  <c r="C42" i="3" s="1"/>
  <c r="E42" i="3" s="1"/>
  <c r="B71" i="3"/>
  <c r="C71" i="3" s="1"/>
  <c r="D71" i="3" s="1"/>
  <c r="B87" i="3"/>
  <c r="C87" i="3" s="1"/>
  <c r="D87" i="3" s="1"/>
  <c r="B103" i="3"/>
  <c r="C103" i="3" s="1"/>
  <c r="D103" i="3" s="1"/>
  <c r="B126" i="3"/>
  <c r="C126" i="3" s="1"/>
  <c r="D126" i="3" s="1"/>
  <c r="B29" i="3"/>
  <c r="C29" i="3" s="1"/>
  <c r="E29" i="3" s="1"/>
  <c r="B37" i="3"/>
  <c r="C37" i="3" s="1"/>
  <c r="B115" i="3"/>
  <c r="C115" i="3" s="1"/>
  <c r="D115" i="3" s="1"/>
  <c r="B23" i="3"/>
  <c r="C23" i="3" s="1"/>
  <c r="E23" i="3" s="1"/>
  <c r="B56" i="3"/>
  <c r="C56" i="3" s="1"/>
  <c r="B80" i="3"/>
  <c r="C80" i="3" s="1"/>
  <c r="B100" i="3"/>
  <c r="C100" i="3" s="1"/>
  <c r="D100" i="3" s="1"/>
  <c r="B116" i="3"/>
  <c r="C116" i="3" s="1"/>
  <c r="E116" i="3" s="1"/>
  <c r="B255" i="3"/>
  <c r="C255" i="3" s="1"/>
  <c r="E255" i="3" s="1"/>
  <c r="B157" i="3"/>
  <c r="C157" i="3" s="1"/>
  <c r="B184" i="3"/>
  <c r="C184" i="3" s="1"/>
  <c r="B202" i="3"/>
  <c r="C202" i="3" s="1"/>
  <c r="E202" i="3" s="1"/>
  <c r="B140" i="3"/>
  <c r="C140" i="3" s="1"/>
  <c r="B177" i="3"/>
  <c r="C177" i="3" s="1"/>
  <c r="D177" i="3" s="1"/>
  <c r="B147" i="3"/>
  <c r="C147" i="3" s="1"/>
  <c r="B183" i="3"/>
  <c r="C183" i="3" s="1"/>
  <c r="E183" i="3" s="1"/>
  <c r="B283" i="3"/>
  <c r="C283" i="3" s="1"/>
  <c r="D283" i="3" s="1"/>
  <c r="B216" i="3"/>
  <c r="C216" i="3" s="1"/>
  <c r="B233" i="3"/>
  <c r="C233" i="3" s="1"/>
  <c r="D233" i="3" s="1"/>
  <c r="B264" i="3"/>
  <c r="C264" i="3" s="1"/>
  <c r="D264" i="3" s="1"/>
  <c r="B296" i="3"/>
  <c r="C296" i="3" s="1"/>
  <c r="D296" i="3" s="1"/>
  <c r="B253" i="3"/>
  <c r="C253" i="3" s="1"/>
  <c r="D253" i="3" s="1"/>
  <c r="B289" i="3"/>
  <c r="C289" i="3" s="1"/>
  <c r="B236" i="3"/>
  <c r="C236" i="3" s="1"/>
  <c r="D236" i="3" s="1"/>
  <c r="B274" i="3"/>
  <c r="C274" i="3" s="1"/>
  <c r="B306" i="3"/>
  <c r="C306" i="3" s="1"/>
  <c r="D306" i="3" s="1"/>
  <c r="B17" i="3"/>
  <c r="C17" i="3" s="1"/>
  <c r="D17" i="3" s="1"/>
  <c r="B213" i="3"/>
  <c r="C213" i="3" s="1"/>
  <c r="D213" i="3" s="1"/>
  <c r="B193" i="4"/>
  <c r="C193" i="4" s="1"/>
  <c r="B127" i="4"/>
  <c r="C127" i="4" s="1"/>
  <c r="D194" i="3"/>
  <c r="D220" i="3"/>
  <c r="E303" i="3"/>
  <c r="E141" i="3"/>
  <c r="D265" i="3"/>
  <c r="D305" i="3"/>
  <c r="D139" i="3"/>
  <c r="D122" i="3"/>
  <c r="D250" i="3"/>
  <c r="D159" i="3"/>
  <c r="E300" i="3"/>
  <c r="E30" i="2"/>
  <c r="E190" i="2"/>
  <c r="E16" i="2"/>
  <c r="E262" i="2"/>
  <c r="E253" i="2"/>
  <c r="E78" i="2"/>
  <c r="E267" i="2"/>
  <c r="E206" i="2"/>
  <c r="D107" i="3"/>
  <c r="D59" i="3"/>
  <c r="D286" i="3"/>
  <c r="D94" i="3"/>
  <c r="D22" i="3"/>
  <c r="D245" i="3"/>
  <c r="D272" i="3"/>
  <c r="D244" i="3"/>
  <c r="E94" i="3"/>
  <c r="D171" i="3"/>
  <c r="E249" i="3"/>
  <c r="E305" i="3"/>
  <c r="E166" i="2"/>
  <c r="E88" i="2"/>
  <c r="E264" i="2"/>
  <c r="E211" i="2"/>
  <c r="E50" i="2"/>
  <c r="E286" i="2"/>
  <c r="E270" i="2"/>
  <c r="E186" i="2"/>
  <c r="D99" i="3"/>
  <c r="E198" i="3"/>
  <c r="D249" i="3"/>
  <c r="E218" i="3"/>
  <c r="D268" i="3"/>
  <c r="E64" i="3"/>
  <c r="D72" i="3"/>
  <c r="D96" i="3"/>
  <c r="D198" i="3"/>
  <c r="E175" i="3"/>
  <c r="D230" i="3"/>
  <c r="E121" i="2"/>
  <c r="D50" i="3"/>
  <c r="E107" i="3"/>
  <c r="D31" i="3"/>
  <c r="D40" i="3"/>
  <c r="E98" i="3"/>
  <c r="D174" i="3"/>
  <c r="D182" i="3"/>
  <c r="D172" i="3"/>
  <c r="D143" i="3"/>
  <c r="E69" i="2"/>
  <c r="E126" i="2"/>
  <c r="E93" i="2"/>
  <c r="I15" i="2"/>
  <c r="E103" i="2"/>
  <c r="E292" i="2"/>
  <c r="E240" i="2"/>
  <c r="E110" i="2"/>
  <c r="E213" i="2"/>
  <c r="D131" i="3"/>
  <c r="D91" i="3"/>
  <c r="D310" i="3"/>
  <c r="D266" i="3"/>
  <c r="E215" i="3"/>
  <c r="D301" i="3"/>
  <c r="D312" i="3"/>
  <c r="D242" i="3"/>
  <c r="E59" i="3"/>
  <c r="E109" i="3"/>
  <c r="D215" i="3"/>
  <c r="E226" i="2"/>
  <c r="E248" i="2"/>
  <c r="E145" i="2"/>
  <c r="E233" i="2"/>
  <c r="E254" i="2"/>
  <c r="E64" i="2"/>
  <c r="E228" i="2"/>
  <c r="D262" i="3"/>
  <c r="E207" i="3"/>
  <c r="D209" i="3"/>
  <c r="D109" i="3"/>
  <c r="D304" i="3"/>
  <c r="D232" i="3"/>
  <c r="D58" i="3"/>
  <c r="D271" i="3"/>
  <c r="D161" i="3"/>
  <c r="E204" i="3"/>
  <c r="D299" i="3"/>
  <c r="E46" i="2"/>
  <c r="E316" i="2"/>
  <c r="E232" i="2"/>
  <c r="E225" i="2"/>
  <c r="E127" i="2"/>
  <c r="E147" i="2"/>
  <c r="D85" i="3"/>
  <c r="D67" i="3"/>
  <c r="D142" i="3"/>
  <c r="D81" i="3"/>
  <c r="E97" i="3"/>
  <c r="D114" i="3"/>
  <c r="D64" i="3"/>
  <c r="D84" i="3"/>
  <c r="D165" i="3"/>
  <c r="D188" i="3"/>
  <c r="D206" i="3"/>
  <c r="D278" i="3"/>
  <c r="E257" i="2"/>
  <c r="E212" i="2"/>
  <c r="E224" i="2"/>
  <c r="E102" i="2"/>
  <c r="E197" i="2"/>
  <c r="E37" i="2"/>
  <c r="E63" i="2"/>
  <c r="E144" i="2"/>
  <c r="D106" i="3"/>
  <c r="E40" i="3"/>
  <c r="D289" i="3"/>
  <c r="D185" i="3"/>
  <c r="D73" i="3"/>
  <c r="E311" i="3"/>
  <c r="E172" i="3"/>
  <c r="B168" i="2"/>
  <c r="C168" i="2" s="1"/>
  <c r="E168" i="2" s="1"/>
  <c r="B15" i="2"/>
  <c r="C15" i="2" s="1"/>
  <c r="E15" i="2" s="1"/>
  <c r="B162" i="2"/>
  <c r="C162" i="2" s="1"/>
  <c r="B318" i="2"/>
  <c r="C318" i="2" s="1"/>
  <c r="E318" i="2" s="1"/>
  <c r="B250" i="2"/>
  <c r="C250" i="2" s="1"/>
  <c r="B165" i="2"/>
  <c r="C165" i="2" s="1"/>
  <c r="E165" i="2" s="1"/>
  <c r="B131" i="2"/>
  <c r="C131" i="2" s="1"/>
  <c r="E131" i="2" s="1"/>
  <c r="B115" i="2"/>
  <c r="C115" i="2" s="1"/>
  <c r="E115" i="2" s="1"/>
  <c r="B194" i="2"/>
  <c r="C194" i="2" s="1"/>
  <c r="E194" i="2" s="1"/>
  <c r="B289" i="2"/>
  <c r="C289" i="2" s="1"/>
  <c r="E289" i="2" s="1"/>
  <c r="B217" i="2"/>
  <c r="C217" i="2" s="1"/>
  <c r="B302" i="2"/>
  <c r="C302" i="2" s="1"/>
  <c r="E302" i="2" s="1"/>
  <c r="B237" i="2"/>
  <c r="C237" i="2" s="1"/>
  <c r="E237" i="2" s="1"/>
  <c r="B151" i="2"/>
  <c r="C151" i="2" s="1"/>
  <c r="B297" i="2"/>
  <c r="C297" i="2" s="1"/>
  <c r="E297" i="2" s="1"/>
  <c r="B118" i="2"/>
  <c r="C118" i="2" s="1"/>
  <c r="E118" i="2" s="1"/>
  <c r="B60" i="2"/>
  <c r="C60" i="2" s="1"/>
  <c r="B290" i="2"/>
  <c r="C290" i="2" s="1"/>
  <c r="E290" i="2" s="1"/>
  <c r="B221" i="2"/>
  <c r="C221" i="2" s="1"/>
  <c r="E221" i="2" s="1"/>
  <c r="B167" i="2"/>
  <c r="C167" i="2" s="1"/>
  <c r="B55" i="2"/>
  <c r="C55" i="2" s="1"/>
  <c r="E55" i="2" s="1"/>
  <c r="B182" i="2"/>
  <c r="C182" i="2" s="1"/>
  <c r="B68" i="2"/>
  <c r="C68" i="2" s="1"/>
  <c r="B169" i="2"/>
  <c r="C169" i="2" s="1"/>
  <c r="B92" i="2"/>
  <c r="C92" i="2" s="1"/>
  <c r="E92" i="2" s="1"/>
  <c r="B38" i="2"/>
  <c r="C38" i="2" s="1"/>
  <c r="B42" i="2"/>
  <c r="C42" i="2" s="1"/>
  <c r="B210" i="2"/>
  <c r="C210" i="2" s="1"/>
  <c r="B95" i="2"/>
  <c r="C95" i="2" s="1"/>
  <c r="E95" i="2" s="1"/>
  <c r="B66" i="2"/>
  <c r="C66" i="2" s="1"/>
  <c r="E66" i="2" s="1"/>
  <c r="D66" i="3"/>
  <c r="E118" i="3"/>
  <c r="D53" i="3"/>
  <c r="E26" i="3"/>
  <c r="D68" i="3"/>
  <c r="D303" i="3"/>
  <c r="D169" i="3"/>
  <c r="D190" i="3"/>
  <c r="D295" i="3"/>
  <c r="E242" i="3"/>
  <c r="E272" i="3"/>
  <c r="D18" i="3"/>
  <c r="D313" i="3"/>
  <c r="E310" i="3"/>
  <c r="D128" i="3"/>
  <c r="D217" i="3"/>
  <c r="E232" i="3"/>
  <c r="D252" i="3"/>
  <c r="E293" i="3"/>
  <c r="E194" i="3"/>
  <c r="D207" i="3"/>
  <c r="D218" i="3"/>
  <c r="E284" i="3"/>
  <c r="E266" i="3"/>
  <c r="B44" i="4"/>
  <c r="C44" i="4" s="1"/>
  <c r="B226" i="4"/>
  <c r="C226" i="4" s="1"/>
  <c r="B149" i="4"/>
  <c r="C149" i="4" s="1"/>
  <c r="E51" i="3"/>
  <c r="D125" i="3"/>
  <c r="E73" i="3"/>
  <c r="D39" i="3"/>
  <c r="B150" i="3"/>
  <c r="C150" i="3" s="1"/>
  <c r="E150" i="3" s="1"/>
  <c r="B44" i="3"/>
  <c r="C44" i="3" s="1"/>
  <c r="E44" i="3" s="1"/>
  <c r="B70" i="3"/>
  <c r="C70" i="3" s="1"/>
  <c r="D70" i="3" s="1"/>
  <c r="B86" i="3"/>
  <c r="C86" i="3" s="1"/>
  <c r="B104" i="3"/>
  <c r="C104" i="3" s="1"/>
  <c r="D104" i="3" s="1"/>
  <c r="B120" i="3"/>
  <c r="C120" i="3" s="1"/>
  <c r="D120" i="3" s="1"/>
  <c r="B235" i="3"/>
  <c r="C235" i="3" s="1"/>
  <c r="D235" i="3" s="1"/>
  <c r="B149" i="3"/>
  <c r="C149" i="3" s="1"/>
  <c r="B178" i="3"/>
  <c r="C178" i="3" s="1"/>
  <c r="D178" i="3" s="1"/>
  <c r="B247" i="3"/>
  <c r="C247" i="3" s="1"/>
  <c r="D247" i="3" s="1"/>
  <c r="B152" i="3"/>
  <c r="C152" i="3" s="1"/>
  <c r="B263" i="3"/>
  <c r="C263" i="3" s="1"/>
  <c r="D263" i="3" s="1"/>
  <c r="B151" i="3"/>
  <c r="C151" i="3" s="1"/>
  <c r="D151" i="3" s="1"/>
  <c r="B181" i="3"/>
  <c r="C181" i="3" s="1"/>
  <c r="D181" i="3" s="1"/>
  <c r="B195" i="3"/>
  <c r="C195" i="3" s="1"/>
  <c r="B239" i="3"/>
  <c r="C239" i="3" s="1"/>
  <c r="B211" i="3"/>
  <c r="C211" i="3" s="1"/>
  <c r="B219" i="3"/>
  <c r="C219" i="3" s="1"/>
  <c r="D219" i="3" s="1"/>
  <c r="B226" i="3"/>
  <c r="C226" i="3" s="1"/>
  <c r="D226" i="3" s="1"/>
  <c r="B234" i="3"/>
  <c r="C234" i="3" s="1"/>
  <c r="D234" i="3" s="1"/>
  <c r="B260" i="3"/>
  <c r="C260" i="3" s="1"/>
  <c r="D260" i="3" s="1"/>
  <c r="B288" i="3"/>
  <c r="C288" i="3" s="1"/>
  <c r="E288" i="3" s="1"/>
  <c r="B316" i="3"/>
  <c r="C316" i="3" s="1"/>
  <c r="B269" i="3"/>
  <c r="C269" i="3" s="1"/>
  <c r="E269" i="3" s="1"/>
  <c r="B297" i="3"/>
  <c r="C297" i="3" s="1"/>
  <c r="D297" i="3" s="1"/>
  <c r="B270" i="3"/>
  <c r="C270" i="3" s="1"/>
  <c r="I15" i="3"/>
  <c r="B61" i="3"/>
  <c r="C61" i="3" s="1"/>
  <c r="E61" i="3" s="1"/>
  <c r="B51" i="4"/>
  <c r="C51" i="4" s="1"/>
  <c r="B257" i="4"/>
  <c r="C257" i="4" s="1"/>
  <c r="B274" i="4"/>
  <c r="C274" i="4" s="1"/>
  <c r="D197" i="3"/>
  <c r="E220" i="3"/>
  <c r="E301" i="3"/>
  <c r="D248" i="3"/>
  <c r="D28" i="3"/>
  <c r="B75" i="4"/>
  <c r="C75" i="4" s="1"/>
  <c r="B289" i="4"/>
  <c r="C289" i="4" s="1"/>
  <c r="B165" i="4"/>
  <c r="C165" i="4" s="1"/>
  <c r="B7" i="12"/>
  <c r="I41" i="8"/>
  <c r="L35" i="8" s="1"/>
  <c r="E87" i="2"/>
  <c r="E255" i="2"/>
  <c r="B202" i="1"/>
  <c r="C202" i="1" s="1"/>
  <c r="E202" i="1" s="1"/>
  <c r="B130" i="1"/>
  <c r="C130" i="1" s="1"/>
  <c r="E130" i="1" s="1"/>
  <c r="B238" i="1"/>
  <c r="C238" i="1" s="1"/>
  <c r="E238" i="1" s="1"/>
  <c r="B46" i="1"/>
  <c r="C46" i="1" s="1"/>
  <c r="E46" i="1" s="1"/>
  <c r="B306" i="1"/>
  <c r="C306" i="1" s="1"/>
  <c r="E306" i="1" s="1"/>
  <c r="B303" i="1"/>
  <c r="C303" i="1" s="1"/>
  <c r="E303" i="1" s="1"/>
  <c r="B187" i="1"/>
  <c r="C187" i="1" s="1"/>
  <c r="E187" i="1" s="1"/>
  <c r="B218" i="1"/>
  <c r="C218" i="1" s="1"/>
  <c r="E218" i="1" s="1"/>
  <c r="B296" i="1"/>
  <c r="C296" i="1" s="1"/>
  <c r="E296" i="1" s="1"/>
  <c r="E130" i="3"/>
  <c r="D130" i="3"/>
  <c r="B67" i="1"/>
  <c r="C67" i="1" s="1"/>
  <c r="E67" i="1" s="1"/>
  <c r="B199" i="1"/>
  <c r="C199" i="1" s="1"/>
  <c r="E199" i="1" s="1"/>
  <c r="B194" i="1"/>
  <c r="C194" i="1" s="1"/>
  <c r="B148" i="1"/>
  <c r="C148" i="1" s="1"/>
  <c r="E148" i="1" s="1"/>
  <c r="B78" i="1"/>
  <c r="C78" i="1" s="1"/>
  <c r="E78" i="1" s="1"/>
  <c r="B147" i="1"/>
  <c r="C147" i="1" s="1"/>
  <c r="E147" i="1" s="1"/>
  <c r="B157" i="1"/>
  <c r="C157" i="1" s="1"/>
  <c r="E157" i="1" s="1"/>
  <c r="B79" i="1"/>
  <c r="C79" i="1" s="1"/>
  <c r="E79" i="1" s="1"/>
  <c r="B76" i="1"/>
  <c r="C76" i="1" s="1"/>
  <c r="B145" i="1"/>
  <c r="C145" i="1" s="1"/>
  <c r="E145" i="1" s="1"/>
  <c r="B106" i="1"/>
  <c r="C106" i="1" s="1"/>
  <c r="B40" i="1"/>
  <c r="C40" i="1" s="1"/>
  <c r="E40" i="1" s="1"/>
  <c r="B134" i="1"/>
  <c r="C134" i="1" s="1"/>
  <c r="B179" i="1"/>
  <c r="C179" i="1" s="1"/>
  <c r="E179" i="1" s="1"/>
  <c r="B128" i="1"/>
  <c r="C128" i="1" s="1"/>
  <c r="B210" i="1"/>
  <c r="C210" i="1" s="1"/>
  <c r="E210" i="1" s="1"/>
  <c r="B105" i="1"/>
  <c r="C105" i="1" s="1"/>
  <c r="E105" i="1" s="1"/>
  <c r="B30" i="1"/>
  <c r="C30" i="1" s="1"/>
  <c r="E30" i="1" s="1"/>
  <c r="B53" i="1"/>
  <c r="C53" i="1" s="1"/>
  <c r="E53" i="1" s="1"/>
  <c r="B304" i="1"/>
  <c r="C304" i="1" s="1"/>
  <c r="E304" i="1" s="1"/>
  <c r="B285" i="1"/>
  <c r="C285" i="1" s="1"/>
  <c r="E285" i="1" s="1"/>
  <c r="B253" i="1"/>
  <c r="C253" i="1" s="1"/>
  <c r="E253" i="1" s="1"/>
  <c r="E119" i="3"/>
  <c r="D119" i="3"/>
  <c r="B123" i="1"/>
  <c r="C123" i="1" s="1"/>
  <c r="E123" i="1" s="1"/>
  <c r="B172" i="1"/>
  <c r="C172" i="1" s="1"/>
  <c r="B109" i="1"/>
  <c r="C109" i="1" s="1"/>
  <c r="E109" i="1" s="1"/>
  <c r="B81" i="1"/>
  <c r="C81" i="1" s="1"/>
  <c r="E81" i="1" s="1"/>
  <c r="B182" i="1"/>
  <c r="C182" i="1" s="1"/>
  <c r="E182" i="1" s="1"/>
  <c r="B168" i="1"/>
  <c r="C168" i="1" s="1"/>
  <c r="E168" i="1" s="1"/>
  <c r="B132" i="1"/>
  <c r="C132" i="1" s="1"/>
  <c r="B92" i="1"/>
  <c r="C92" i="1" s="1"/>
  <c r="I15" i="1"/>
  <c r="B191" i="1"/>
  <c r="C191" i="1" s="1"/>
  <c r="E191" i="1" s="1"/>
  <c r="B141" i="1"/>
  <c r="C141" i="1" s="1"/>
  <c r="B39" i="1"/>
  <c r="C39" i="1" s="1"/>
  <c r="E39" i="1" s="1"/>
  <c r="B66" i="1"/>
  <c r="C66" i="1" s="1"/>
  <c r="E66" i="1" s="1"/>
  <c r="B126" i="1"/>
  <c r="C126" i="1" s="1"/>
  <c r="E126" i="1" s="1"/>
  <c r="B193" i="1"/>
  <c r="C193" i="1" s="1"/>
  <c r="E193" i="1" s="1"/>
  <c r="B23" i="1"/>
  <c r="C23" i="1" s="1"/>
  <c r="B82" i="1"/>
  <c r="C82" i="1" s="1"/>
  <c r="E82" i="1" s="1"/>
  <c r="B60" i="1"/>
  <c r="C60" i="1" s="1"/>
  <c r="B26" i="1"/>
  <c r="C26" i="1" s="1"/>
  <c r="E26" i="1" s="1"/>
  <c r="B25" i="1"/>
  <c r="C25" i="1" s="1"/>
  <c r="E25" i="1" s="1"/>
  <c r="B281" i="1"/>
  <c r="C281" i="1" s="1"/>
  <c r="E281" i="1" s="1"/>
  <c r="E306" i="2"/>
  <c r="B138" i="1"/>
  <c r="C138" i="1" s="1"/>
  <c r="B80" i="1"/>
  <c r="C80" i="1" s="1"/>
  <c r="E80" i="1" s="1"/>
  <c r="B299" i="1"/>
  <c r="C299" i="1" s="1"/>
  <c r="E299" i="1" s="1"/>
  <c r="B190" i="1"/>
  <c r="C190" i="1" s="1"/>
  <c r="E190" i="1" s="1"/>
  <c r="B144" i="1"/>
  <c r="C144" i="1" s="1"/>
  <c r="E144" i="1" s="1"/>
  <c r="B98" i="1"/>
  <c r="C98" i="1" s="1"/>
  <c r="E98" i="1" s="1"/>
  <c r="B227" i="1"/>
  <c r="C227" i="1" s="1"/>
  <c r="E227" i="1" s="1"/>
  <c r="B150" i="1"/>
  <c r="C150" i="1" s="1"/>
  <c r="B197" i="1"/>
  <c r="C197" i="1" s="1"/>
  <c r="B68" i="1"/>
  <c r="C68" i="1" s="1"/>
  <c r="E68" i="1" s="1"/>
  <c r="B57" i="1"/>
  <c r="C57" i="1" s="1"/>
  <c r="E57" i="1" s="1"/>
  <c r="B269" i="1"/>
  <c r="C269" i="1" s="1"/>
  <c r="E269" i="1" s="1"/>
  <c r="B291" i="1"/>
  <c r="C291" i="1" s="1"/>
  <c r="B180" i="1"/>
  <c r="C180" i="1" s="1"/>
  <c r="E180" i="1" s="1"/>
  <c r="B178" i="1"/>
  <c r="C178" i="1" s="1"/>
  <c r="B175" i="1"/>
  <c r="C175" i="1" s="1"/>
  <c r="E175" i="1" s="1"/>
  <c r="B86" i="1"/>
  <c r="C86" i="1" s="1"/>
  <c r="B183" i="1"/>
  <c r="C183" i="1" s="1"/>
  <c r="E183" i="1" s="1"/>
  <c r="B173" i="1"/>
  <c r="C173" i="1" s="1"/>
  <c r="B137" i="1"/>
  <c r="C137" i="1" s="1"/>
  <c r="E137" i="1" s="1"/>
  <c r="B154" i="1"/>
  <c r="C154" i="1" s="1"/>
  <c r="B160" i="1"/>
  <c r="C160" i="1" s="1"/>
  <c r="E160" i="1" s="1"/>
  <c r="B120" i="1"/>
  <c r="C120" i="1" s="1"/>
  <c r="E120" i="1" s="1"/>
  <c r="B59" i="1"/>
  <c r="C59" i="1" s="1"/>
  <c r="E59" i="1" s="1"/>
  <c r="B206" i="1"/>
  <c r="C206" i="1" s="1"/>
  <c r="E206" i="1" s="1"/>
  <c r="B268" i="1"/>
  <c r="C268" i="1" s="1"/>
  <c r="E268" i="1" s="1"/>
  <c r="B301" i="1"/>
  <c r="C301" i="1" s="1"/>
  <c r="E301" i="1" s="1"/>
  <c r="B174" i="1"/>
  <c r="C174" i="1" s="1"/>
  <c r="E174" i="1" s="1"/>
  <c r="B198" i="1"/>
  <c r="C198" i="1" s="1"/>
  <c r="B165" i="1"/>
  <c r="C165" i="1" s="1"/>
  <c r="E165" i="1" s="1"/>
  <c r="B133" i="1"/>
  <c r="C133" i="1" s="1"/>
  <c r="E133" i="1" s="1"/>
  <c r="B146" i="1"/>
  <c r="C146" i="1" s="1"/>
  <c r="B185" i="1"/>
  <c r="C185" i="1" s="1"/>
  <c r="E185" i="1" s="1"/>
  <c r="B156" i="1"/>
  <c r="C156" i="1" s="1"/>
  <c r="E156" i="1" s="1"/>
  <c r="B167" i="1"/>
  <c r="C167" i="1" s="1"/>
  <c r="E167" i="1" s="1"/>
  <c r="B51" i="1"/>
  <c r="C51" i="1" s="1"/>
  <c r="E51" i="1" s="1"/>
  <c r="B19" i="1"/>
  <c r="C19" i="1" s="1"/>
  <c r="B116" i="1"/>
  <c r="C116" i="1" s="1"/>
  <c r="E116" i="1" s="1"/>
  <c r="B104" i="1"/>
  <c r="C104" i="1" s="1"/>
  <c r="E104" i="1" s="1"/>
  <c r="B58" i="1"/>
  <c r="C58" i="1" s="1"/>
  <c r="E58" i="1" s="1"/>
  <c r="B221" i="1"/>
  <c r="C221" i="1" s="1"/>
  <c r="E221" i="1" s="1"/>
  <c r="B28" i="1"/>
  <c r="C28" i="1" s="1"/>
  <c r="E28" i="1" s="1"/>
  <c r="B256" i="1"/>
  <c r="C256" i="1" s="1"/>
  <c r="E256" i="1" s="1"/>
  <c r="B244" i="1"/>
  <c r="C244" i="1" s="1"/>
  <c r="E244" i="1" s="1"/>
  <c r="H10" i="1" s="1"/>
  <c r="I21" i="1" s="1"/>
  <c r="B297" i="1"/>
  <c r="C297" i="1" s="1"/>
  <c r="D287" i="3"/>
  <c r="E287" i="3"/>
  <c r="B125" i="1"/>
  <c r="C125" i="1" s="1"/>
  <c r="E125" i="1" s="1"/>
  <c r="B112" i="1"/>
  <c r="C112" i="1" s="1"/>
  <c r="B274" i="1"/>
  <c r="C274" i="1" s="1"/>
  <c r="E274" i="1" s="1"/>
  <c r="E62" i="3"/>
  <c r="D62" i="3"/>
  <c r="D223" i="3"/>
  <c r="E223" i="3"/>
  <c r="E285" i="3"/>
  <c r="D285" i="3"/>
  <c r="B184" i="1"/>
  <c r="C184" i="1" s="1"/>
  <c r="E184" i="1" s="1"/>
  <c r="B52" i="1"/>
  <c r="C52" i="1" s="1"/>
  <c r="E52" i="1" s="1"/>
  <c r="B166" i="1"/>
  <c r="C166" i="1" s="1"/>
  <c r="E166" i="1" s="1"/>
  <c r="B177" i="1"/>
  <c r="C177" i="1" s="1"/>
  <c r="E177" i="1" s="1"/>
  <c r="B48" i="1"/>
  <c r="C48" i="1" s="1"/>
  <c r="E48" i="1" s="1"/>
  <c r="E257" i="3"/>
  <c r="D257" i="3"/>
  <c r="B196" i="1"/>
  <c r="C196" i="1" s="1"/>
  <c r="E196" i="1" s="1"/>
  <c r="B152" i="1"/>
  <c r="C152" i="1" s="1"/>
  <c r="B217" i="1"/>
  <c r="C217" i="1" s="1"/>
  <c r="E217" i="1" s="1"/>
  <c r="B121" i="1"/>
  <c r="C121" i="1" s="1"/>
  <c r="E121" i="1" s="1"/>
  <c r="B192" i="1"/>
  <c r="C192" i="1" s="1"/>
  <c r="B111" i="1"/>
  <c r="C111" i="1" s="1"/>
  <c r="B89" i="1"/>
  <c r="C89" i="1" s="1"/>
  <c r="E89" i="1" s="1"/>
  <c r="B290" i="1"/>
  <c r="C290" i="1" s="1"/>
  <c r="E290" i="1" s="1"/>
  <c r="B171" i="1"/>
  <c r="C171" i="1" s="1"/>
  <c r="E171" i="1" s="1"/>
  <c r="B254" i="1"/>
  <c r="C254" i="1" s="1"/>
  <c r="E254" i="1" s="1"/>
  <c r="E260" i="2"/>
  <c r="E1" i="2"/>
  <c r="E5" i="2"/>
  <c r="D255" i="2" s="1"/>
  <c r="D37" i="3"/>
  <c r="E37" i="3"/>
  <c r="B161" i="1"/>
  <c r="C161" i="1" s="1"/>
  <c r="E161" i="1" s="1"/>
  <c r="B101" i="1"/>
  <c r="C101" i="1" s="1"/>
  <c r="E101" i="1" s="1"/>
  <c r="B131" i="1"/>
  <c r="C131" i="1" s="1"/>
  <c r="E131" i="1" s="1"/>
  <c r="B95" i="1"/>
  <c r="C95" i="1" s="1"/>
  <c r="E95" i="1" s="1"/>
  <c r="B100" i="1"/>
  <c r="C100" i="1" s="1"/>
  <c r="E100" i="1" s="1"/>
  <c r="B235" i="1"/>
  <c r="C235" i="1" s="1"/>
  <c r="B245" i="1"/>
  <c r="C245" i="1" s="1"/>
  <c r="E245" i="1" s="1"/>
  <c r="B271" i="1"/>
  <c r="C271" i="1" s="1"/>
  <c r="E271" i="1" s="1"/>
  <c r="E132" i="1"/>
  <c r="B139" i="1"/>
  <c r="C139" i="1" s="1"/>
  <c r="B163" i="1"/>
  <c r="C163" i="1" s="1"/>
  <c r="B117" i="1"/>
  <c r="C117" i="1" s="1"/>
  <c r="E117" i="1" s="1"/>
  <c r="B158" i="1"/>
  <c r="C158" i="1" s="1"/>
  <c r="E158" i="1" s="1"/>
  <c r="B186" i="1"/>
  <c r="C186" i="1" s="1"/>
  <c r="E186" i="1" s="1"/>
  <c r="B149" i="1"/>
  <c r="C149" i="1" s="1"/>
  <c r="B127" i="1"/>
  <c r="C127" i="1" s="1"/>
  <c r="E127" i="1" s="1"/>
  <c r="E197" i="1"/>
  <c r="B136" i="1"/>
  <c r="C136" i="1" s="1"/>
  <c r="E136" i="1" s="1"/>
  <c r="B188" i="1"/>
  <c r="C188" i="1" s="1"/>
  <c r="E188" i="1" s="1"/>
  <c r="B43" i="1"/>
  <c r="C43" i="1" s="1"/>
  <c r="E43" i="1" s="1"/>
  <c r="B222" i="1"/>
  <c r="C222" i="1" s="1"/>
  <c r="E222" i="1" s="1"/>
  <c r="B70" i="1"/>
  <c r="C70" i="1" s="1"/>
  <c r="E70" i="1" s="1"/>
  <c r="B42" i="1"/>
  <c r="C42" i="1" s="1"/>
  <c r="E42" i="1" s="1"/>
  <c r="B77" i="1"/>
  <c r="C77" i="1" s="1"/>
  <c r="E77" i="1" s="1"/>
  <c r="B219" i="1"/>
  <c r="C219" i="1" s="1"/>
  <c r="E219" i="1" s="1"/>
  <c r="B288" i="1"/>
  <c r="C288" i="1" s="1"/>
  <c r="E288" i="1" s="1"/>
  <c r="B314" i="1"/>
  <c r="C314" i="1" s="1"/>
  <c r="E314" i="1" s="1"/>
  <c r="B255" i="1"/>
  <c r="C255" i="1" s="1"/>
  <c r="E255" i="1" s="1"/>
  <c r="D240" i="3"/>
  <c r="E240" i="3"/>
  <c r="B37" i="4"/>
  <c r="C37" i="4" s="1"/>
  <c r="I13" i="4"/>
  <c r="J13" i="4" s="1"/>
  <c r="B229" i="4"/>
  <c r="C229" i="4" s="1"/>
  <c r="B41" i="4"/>
  <c r="C41" i="4" s="1"/>
  <c r="B243" i="4"/>
  <c r="C243" i="4" s="1"/>
  <c r="B45" i="4"/>
  <c r="C45" i="4" s="1"/>
  <c r="B52" i="4"/>
  <c r="C52" i="4" s="1"/>
  <c r="B59" i="4"/>
  <c r="C59" i="4" s="1"/>
  <c r="B67" i="4"/>
  <c r="C67" i="4" s="1"/>
  <c r="B201" i="4"/>
  <c r="C201" i="4" s="1"/>
  <c r="B263" i="4"/>
  <c r="C263" i="4" s="1"/>
  <c r="B39" i="4"/>
  <c r="C39" i="4" s="1"/>
  <c r="B299" i="4"/>
  <c r="C299" i="4" s="1"/>
  <c r="B194" i="4"/>
  <c r="C194" i="4" s="1"/>
  <c r="B212" i="4"/>
  <c r="C212" i="4" s="1"/>
  <c r="B228" i="4"/>
  <c r="C228" i="4" s="1"/>
  <c r="B293" i="4"/>
  <c r="C293" i="4" s="1"/>
  <c r="B87" i="4"/>
  <c r="C87" i="4" s="1"/>
  <c r="B107" i="4"/>
  <c r="C107" i="4" s="1"/>
  <c r="B116" i="4"/>
  <c r="C116" i="4" s="1"/>
  <c r="B138" i="4"/>
  <c r="C138" i="4" s="1"/>
  <c r="B152" i="4"/>
  <c r="C152" i="4" s="1"/>
  <c r="B187" i="4"/>
  <c r="C187" i="4" s="1"/>
  <c r="B254" i="4"/>
  <c r="C254" i="4" s="1"/>
  <c r="B276" i="4"/>
  <c r="C276" i="4" s="1"/>
  <c r="B294" i="4"/>
  <c r="C294" i="4" s="1"/>
  <c r="B167" i="4"/>
  <c r="C167" i="4" s="1"/>
  <c r="B112" i="4"/>
  <c r="C112" i="4" s="1"/>
  <c r="B18" i="4"/>
  <c r="C18" i="4" s="1"/>
  <c r="B33" i="4"/>
  <c r="C33" i="4" s="1"/>
  <c r="B190" i="4"/>
  <c r="C190" i="4" s="1"/>
  <c r="B239" i="4"/>
  <c r="C239" i="4" s="1"/>
  <c r="B22" i="4"/>
  <c r="C22" i="4" s="1"/>
  <c r="B186" i="4"/>
  <c r="C186" i="4" s="1"/>
  <c r="B259" i="4"/>
  <c r="C259" i="4" s="1"/>
  <c r="B53" i="4"/>
  <c r="C53" i="4" s="1"/>
  <c r="B60" i="4"/>
  <c r="C60" i="4" s="1"/>
  <c r="B76" i="4"/>
  <c r="C76" i="4" s="1"/>
  <c r="B209" i="4"/>
  <c r="C209" i="4" s="1"/>
  <c r="B279" i="4"/>
  <c r="C279" i="4" s="1"/>
  <c r="B203" i="4"/>
  <c r="C203" i="4" s="1"/>
  <c r="B315" i="4"/>
  <c r="C315" i="4" s="1"/>
  <c r="B196" i="4"/>
  <c r="C196" i="4" s="1"/>
  <c r="B214" i="4"/>
  <c r="C214" i="4" s="1"/>
  <c r="B230" i="4"/>
  <c r="C230" i="4" s="1"/>
  <c r="B261" i="4"/>
  <c r="C261" i="4" s="1"/>
  <c r="B297" i="4"/>
  <c r="C297" i="4" s="1"/>
  <c r="B88" i="4"/>
  <c r="C88" i="4" s="1"/>
  <c r="B99" i="4"/>
  <c r="C99" i="4" s="1"/>
  <c r="B109" i="4"/>
  <c r="C109" i="4" s="1"/>
  <c r="B117" i="4"/>
  <c r="C117" i="4" s="1"/>
  <c r="B129" i="4"/>
  <c r="C129" i="4" s="1"/>
  <c r="B139" i="4"/>
  <c r="C139" i="4" s="1"/>
  <c r="B153" i="4"/>
  <c r="C153" i="4" s="1"/>
  <c r="B191" i="4"/>
  <c r="C191" i="4" s="1"/>
  <c r="B256" i="4"/>
  <c r="C256" i="4" s="1"/>
  <c r="B170" i="4"/>
  <c r="C170" i="4" s="1"/>
  <c r="B128" i="4"/>
  <c r="C128" i="4" s="1"/>
  <c r="B176" i="4"/>
  <c r="C176" i="4" s="1"/>
  <c r="E85" i="2"/>
  <c r="B230" i="2"/>
  <c r="C230" i="2" s="1"/>
  <c r="B128" i="2"/>
  <c r="C128" i="2" s="1"/>
  <c r="B122" i="2"/>
  <c r="C122" i="2" s="1"/>
  <c r="B136" i="2"/>
  <c r="C136" i="2" s="1"/>
  <c r="E136" i="2" s="1"/>
  <c r="B271" i="2"/>
  <c r="C271" i="2" s="1"/>
  <c r="E271" i="2" s="1"/>
  <c r="B113" i="2"/>
  <c r="C113" i="2" s="1"/>
  <c r="E113" i="2" s="1"/>
  <c r="B139" i="2"/>
  <c r="C139" i="2" s="1"/>
  <c r="D139" i="2" s="1"/>
  <c r="B149" i="2"/>
  <c r="C149" i="2" s="1"/>
  <c r="B231" i="2"/>
  <c r="C231" i="2" s="1"/>
  <c r="B311" i="2"/>
  <c r="C311" i="2" s="1"/>
  <c r="B150" i="2"/>
  <c r="C150" i="2" s="1"/>
  <c r="E169" i="3"/>
  <c r="B29" i="4"/>
  <c r="C29" i="4" s="1"/>
  <c r="B197" i="4"/>
  <c r="C197" i="4" s="1"/>
  <c r="B23" i="4"/>
  <c r="C23" i="4" s="1"/>
  <c r="B199" i="4"/>
  <c r="C199" i="4" s="1"/>
  <c r="B275" i="4"/>
  <c r="C275" i="4" s="1"/>
  <c r="B46" i="4"/>
  <c r="C46" i="4" s="1"/>
  <c r="B54" i="4"/>
  <c r="C54" i="4" s="1"/>
  <c r="B61" i="4"/>
  <c r="C61" i="4" s="1"/>
  <c r="B68" i="4"/>
  <c r="C68" i="4" s="1"/>
  <c r="B78" i="4"/>
  <c r="C78" i="4" s="1"/>
  <c r="B217" i="4"/>
  <c r="C217" i="4" s="1"/>
  <c r="B211" i="4"/>
  <c r="C211" i="4" s="1"/>
  <c r="B181" i="4"/>
  <c r="C181" i="4" s="1"/>
  <c r="B198" i="4"/>
  <c r="C198" i="4" s="1"/>
  <c r="B218" i="4"/>
  <c r="C218" i="4" s="1"/>
  <c r="B232" i="4"/>
  <c r="C232" i="4" s="1"/>
  <c r="B265" i="4"/>
  <c r="C265" i="4" s="1"/>
  <c r="B89" i="4"/>
  <c r="C89" i="4" s="1"/>
  <c r="B100" i="4"/>
  <c r="C100" i="4" s="1"/>
  <c r="B119" i="4"/>
  <c r="C119" i="4" s="1"/>
  <c r="B130" i="4"/>
  <c r="C130" i="4" s="1"/>
  <c r="B141" i="4"/>
  <c r="C141" i="4" s="1"/>
  <c r="B155" i="4"/>
  <c r="C155" i="4" s="1"/>
  <c r="B238" i="4"/>
  <c r="C238" i="4" s="1"/>
  <c r="B260" i="4"/>
  <c r="C260" i="4" s="1"/>
  <c r="B280" i="4"/>
  <c r="C280" i="4" s="1"/>
  <c r="B300" i="4"/>
  <c r="C300" i="4" s="1"/>
  <c r="B173" i="4"/>
  <c r="C173" i="4" s="1"/>
  <c r="B108" i="4"/>
  <c r="C108" i="4" s="1"/>
  <c r="B19" i="4"/>
  <c r="C19" i="4" s="1"/>
  <c r="D165" i="2"/>
  <c r="B35" i="4"/>
  <c r="C35" i="4" s="1"/>
  <c r="B28" i="4"/>
  <c r="C28" i="4" s="1"/>
  <c r="B205" i="4"/>
  <c r="C205" i="4" s="1"/>
  <c r="B255" i="4"/>
  <c r="C255" i="4" s="1"/>
  <c r="B24" i="4"/>
  <c r="C24" i="4" s="1"/>
  <c r="B291" i="4"/>
  <c r="C291" i="4" s="1"/>
  <c r="B55" i="4"/>
  <c r="C55" i="4" s="1"/>
  <c r="B62" i="4"/>
  <c r="C62" i="4" s="1"/>
  <c r="B70" i="4"/>
  <c r="C70" i="4" s="1"/>
  <c r="B79" i="4"/>
  <c r="C79" i="4" s="1"/>
  <c r="B295" i="4"/>
  <c r="C295" i="4" s="1"/>
  <c r="B219" i="4"/>
  <c r="C219" i="4" s="1"/>
  <c r="B185" i="4"/>
  <c r="C185" i="4" s="1"/>
  <c r="B200" i="4"/>
  <c r="C200" i="4" s="1"/>
  <c r="B234" i="4"/>
  <c r="C234" i="4" s="1"/>
  <c r="B305" i="4"/>
  <c r="C305" i="4" s="1"/>
  <c r="B91" i="4"/>
  <c r="C91" i="4" s="1"/>
  <c r="B111" i="4"/>
  <c r="C111" i="4" s="1"/>
  <c r="B120" i="4"/>
  <c r="C120" i="4" s="1"/>
  <c r="B131" i="4"/>
  <c r="C131" i="4" s="1"/>
  <c r="B157" i="4"/>
  <c r="C157" i="4" s="1"/>
  <c r="B240" i="4"/>
  <c r="C240" i="4" s="1"/>
  <c r="B282" i="4"/>
  <c r="C282" i="4" s="1"/>
  <c r="B312" i="4"/>
  <c r="C312" i="4" s="1"/>
  <c r="B175" i="4"/>
  <c r="C175" i="4" s="1"/>
  <c r="B140" i="4"/>
  <c r="C140" i="4" s="1"/>
  <c r="B21" i="4"/>
  <c r="C21" i="4" s="1"/>
  <c r="E244" i="3"/>
  <c r="H10" i="3" s="1"/>
  <c r="I21" i="3" s="1"/>
  <c r="B15" i="4"/>
  <c r="C15" i="4" s="1"/>
  <c r="B27" i="4"/>
  <c r="C27" i="4" s="1"/>
  <c r="B213" i="4"/>
  <c r="C213" i="4" s="1"/>
  <c r="B25" i="4"/>
  <c r="C25" i="4" s="1"/>
  <c r="B215" i="4"/>
  <c r="C215" i="4" s="1"/>
  <c r="B307" i="4"/>
  <c r="C307" i="4" s="1"/>
  <c r="B47" i="4"/>
  <c r="C47" i="4" s="1"/>
  <c r="B63" i="4"/>
  <c r="C63" i="4" s="1"/>
  <c r="B71" i="4"/>
  <c r="C71" i="4" s="1"/>
  <c r="B80" i="4"/>
  <c r="C80" i="4" s="1"/>
  <c r="B225" i="4"/>
  <c r="C225" i="4" s="1"/>
  <c r="B180" i="4"/>
  <c r="C180" i="4" s="1"/>
  <c r="B202" i="4"/>
  <c r="C202" i="4" s="1"/>
  <c r="B220" i="4"/>
  <c r="C220" i="4" s="1"/>
  <c r="B241" i="4"/>
  <c r="C241" i="4" s="1"/>
  <c r="B273" i="4"/>
  <c r="C273" i="4" s="1"/>
  <c r="B309" i="4"/>
  <c r="C309" i="4" s="1"/>
  <c r="B93" i="4"/>
  <c r="C93" i="4" s="1"/>
  <c r="B102" i="4"/>
  <c r="C102" i="4" s="1"/>
  <c r="B113" i="4"/>
  <c r="C113" i="4" s="1"/>
  <c r="B122" i="4"/>
  <c r="C122" i="4" s="1"/>
  <c r="B132" i="4"/>
  <c r="C132" i="4" s="1"/>
  <c r="B143" i="4"/>
  <c r="C143" i="4" s="1"/>
  <c r="B158" i="4"/>
  <c r="C158" i="4" s="1"/>
  <c r="B242" i="4"/>
  <c r="C242" i="4" s="1"/>
  <c r="B262" i="4"/>
  <c r="C262" i="4" s="1"/>
  <c r="B286" i="4"/>
  <c r="C286" i="4" s="1"/>
  <c r="B69" i="4"/>
  <c r="C69" i="4" s="1"/>
  <c r="B235" i="4"/>
  <c r="C235" i="4" s="1"/>
  <c r="B30" i="4"/>
  <c r="C30" i="4" s="1"/>
  <c r="B32" i="4"/>
  <c r="C32" i="4" s="1"/>
  <c r="B271" i="4"/>
  <c r="C271" i="4" s="1"/>
  <c r="B26" i="4"/>
  <c r="C26" i="4" s="1"/>
  <c r="B223" i="4"/>
  <c r="C223" i="4" s="1"/>
  <c r="B42" i="4"/>
  <c r="C42" i="4" s="1"/>
  <c r="B48" i="4"/>
  <c r="C48" i="4" s="1"/>
  <c r="B56" i="4"/>
  <c r="C56" i="4" s="1"/>
  <c r="B64" i="4"/>
  <c r="C64" i="4" s="1"/>
  <c r="B72" i="4"/>
  <c r="C72" i="4" s="1"/>
  <c r="B82" i="4"/>
  <c r="C82" i="4" s="1"/>
  <c r="B233" i="4"/>
  <c r="C233" i="4" s="1"/>
  <c r="B311" i="4"/>
  <c r="C311" i="4" s="1"/>
  <c r="B227" i="4"/>
  <c r="C227" i="4" s="1"/>
  <c r="B184" i="4"/>
  <c r="C184" i="4" s="1"/>
  <c r="B224" i="4"/>
  <c r="C224" i="4" s="1"/>
  <c r="B245" i="4"/>
  <c r="C245" i="4" s="1"/>
  <c r="B281" i="4"/>
  <c r="C281" i="4" s="1"/>
  <c r="B84" i="4"/>
  <c r="C84" i="4" s="1"/>
  <c r="B103" i="4"/>
  <c r="C103" i="4" s="1"/>
  <c r="B114" i="4"/>
  <c r="C114" i="4" s="1"/>
  <c r="B123" i="4"/>
  <c r="C123" i="4" s="1"/>
  <c r="B133" i="4"/>
  <c r="C133" i="4" s="1"/>
  <c r="B144" i="4"/>
  <c r="C144" i="4" s="1"/>
  <c r="B161" i="4"/>
  <c r="C161" i="4" s="1"/>
  <c r="B248" i="4"/>
  <c r="C248" i="4" s="1"/>
  <c r="B264" i="4"/>
  <c r="C264" i="4" s="1"/>
  <c r="B288" i="4"/>
  <c r="C288" i="4" s="1"/>
  <c r="B318" i="4"/>
  <c r="C318" i="4" s="1"/>
  <c r="B148" i="4"/>
  <c r="C148" i="4" s="1"/>
  <c r="B317" i="4"/>
  <c r="C317" i="4" s="1"/>
  <c r="B31" i="4"/>
  <c r="C31" i="4" s="1"/>
  <c r="I34" i="3"/>
  <c r="D77" i="2"/>
  <c r="D291" i="2"/>
  <c r="B16" i="4"/>
  <c r="C16" i="4" s="1"/>
  <c r="B221" i="4"/>
  <c r="C221" i="4" s="1"/>
  <c r="B287" i="4"/>
  <c r="C287" i="4" s="1"/>
  <c r="B231" i="4"/>
  <c r="C231" i="4" s="1"/>
  <c r="B43" i="4"/>
  <c r="C43" i="4" s="1"/>
  <c r="B50" i="4"/>
  <c r="C50" i="4" s="1"/>
  <c r="B58" i="4"/>
  <c r="C58" i="4" s="1"/>
  <c r="B66" i="4"/>
  <c r="C66" i="4" s="1"/>
  <c r="B74" i="4"/>
  <c r="C74" i="4" s="1"/>
  <c r="B182" i="4"/>
  <c r="C182" i="4" s="1"/>
  <c r="B247" i="4"/>
  <c r="C247" i="4" s="1"/>
  <c r="B251" i="4"/>
  <c r="C251" i="4" s="1"/>
  <c r="B206" i="4"/>
  <c r="C206" i="4" s="1"/>
  <c r="B285" i="4"/>
  <c r="C285" i="4" s="1"/>
  <c r="B85" i="4"/>
  <c r="C85" i="4" s="1"/>
  <c r="B94" i="4"/>
  <c r="C94" i="4" s="1"/>
  <c r="B105" i="4"/>
  <c r="C105" i="4" s="1"/>
  <c r="B115" i="4"/>
  <c r="C115" i="4" s="1"/>
  <c r="B125" i="4"/>
  <c r="C125" i="4" s="1"/>
  <c r="B135" i="4"/>
  <c r="C135" i="4" s="1"/>
  <c r="B147" i="4"/>
  <c r="C147" i="4" s="1"/>
  <c r="B179" i="4"/>
  <c r="C179" i="4" s="1"/>
  <c r="B250" i="4"/>
  <c r="C250" i="4" s="1"/>
  <c r="B268" i="4"/>
  <c r="C268" i="4" s="1"/>
  <c r="B292" i="4"/>
  <c r="C292" i="4" s="1"/>
  <c r="B164" i="4"/>
  <c r="C164" i="4" s="1"/>
  <c r="B65" i="4"/>
  <c r="C65" i="4" s="1"/>
  <c r="E25" i="3"/>
  <c r="D25" i="3"/>
  <c r="E148" i="2"/>
  <c r="E301" i="2"/>
  <c r="E297" i="1"/>
  <c r="E29" i="2"/>
  <c r="D216" i="2"/>
  <c r="E216" i="2"/>
  <c r="E57" i="2"/>
  <c r="E25" i="2"/>
  <c r="D25" i="2"/>
  <c r="E133" i="2"/>
  <c r="D203" i="3"/>
  <c r="E203" i="3"/>
  <c r="D41" i="3"/>
  <c r="E41" i="3"/>
  <c r="E194" i="1"/>
  <c r="E303" i="2"/>
  <c r="E280" i="3"/>
  <c r="D280" i="3"/>
  <c r="B97" i="1"/>
  <c r="C97" i="1" s="1"/>
  <c r="B73" i="1"/>
  <c r="C73" i="1" s="1"/>
  <c r="B21" i="1"/>
  <c r="C21" i="1" s="1"/>
  <c r="B228" i="1"/>
  <c r="C228" i="1" s="1"/>
  <c r="E228" i="1" s="1"/>
  <c r="B20" i="1"/>
  <c r="C20" i="1" s="1"/>
  <c r="B263" i="1"/>
  <c r="C263" i="1" s="1"/>
  <c r="B316" i="1"/>
  <c r="C316" i="1" s="1"/>
  <c r="B278" i="1"/>
  <c r="C278" i="1" s="1"/>
  <c r="B318" i="1"/>
  <c r="C318" i="1" s="1"/>
  <c r="E318" i="1" s="1"/>
  <c r="B248" i="1"/>
  <c r="C248" i="1" s="1"/>
  <c r="E248" i="1" s="1"/>
  <c r="B279" i="1"/>
  <c r="C279" i="1" s="1"/>
  <c r="B307" i="1"/>
  <c r="C307" i="1" s="1"/>
  <c r="E307" i="1" s="1"/>
  <c r="B264" i="1"/>
  <c r="C264" i="1" s="1"/>
  <c r="E179" i="2"/>
  <c r="E48" i="2"/>
  <c r="E74" i="2"/>
  <c r="D74" i="2"/>
  <c r="D222" i="2"/>
  <c r="E222" i="2"/>
  <c r="E162" i="2"/>
  <c r="B22" i="1"/>
  <c r="C22" i="1" s="1"/>
  <c r="B225" i="1"/>
  <c r="C225" i="1" s="1"/>
  <c r="E225" i="1" s="1"/>
  <c r="B45" i="1"/>
  <c r="C45" i="1" s="1"/>
  <c r="E45" i="1" s="1"/>
  <c r="B17" i="1"/>
  <c r="C17" i="1" s="1"/>
  <c r="B224" i="1"/>
  <c r="C224" i="1" s="1"/>
  <c r="B16" i="1"/>
  <c r="C16" i="1" s="1"/>
  <c r="B223" i="1"/>
  <c r="C223" i="1" s="1"/>
  <c r="E223" i="1" s="1"/>
  <c r="B272" i="1"/>
  <c r="C272" i="1" s="1"/>
  <c r="B250" i="1"/>
  <c r="C250" i="1" s="1"/>
  <c r="B282" i="1"/>
  <c r="C282" i="1" s="1"/>
  <c r="B243" i="1"/>
  <c r="C243" i="1" s="1"/>
  <c r="B258" i="1"/>
  <c r="C258" i="1" s="1"/>
  <c r="B287" i="1"/>
  <c r="C287" i="1" s="1"/>
  <c r="B315" i="1"/>
  <c r="C315" i="1" s="1"/>
  <c r="E315" i="1" s="1"/>
  <c r="I13" i="1"/>
  <c r="J13" i="1" s="1"/>
  <c r="E288" i="2"/>
  <c r="D288" i="2"/>
  <c r="E185" i="2"/>
  <c r="E276" i="2"/>
  <c r="D192" i="2"/>
  <c r="E192" i="2"/>
  <c r="E112" i="2"/>
  <c r="E203" i="2"/>
  <c r="D203" i="2"/>
  <c r="D310" i="2"/>
  <c r="E310" i="2"/>
  <c r="D137" i="2"/>
  <c r="E137" i="2"/>
  <c r="E295" i="2"/>
  <c r="D295" i="2"/>
  <c r="E86" i="1"/>
  <c r="E291" i="1"/>
  <c r="B142" i="1"/>
  <c r="C142" i="1" s="1"/>
  <c r="B169" i="1"/>
  <c r="C169" i="1" s="1"/>
  <c r="B153" i="1"/>
  <c r="C153" i="1" s="1"/>
  <c r="B129" i="1"/>
  <c r="C129" i="1" s="1"/>
  <c r="B119" i="1"/>
  <c r="C119" i="1" s="1"/>
  <c r="B170" i="1"/>
  <c r="C170" i="1" s="1"/>
  <c r="B122" i="1"/>
  <c r="C122" i="1" s="1"/>
  <c r="E122" i="1" s="1"/>
  <c r="B189" i="1"/>
  <c r="C189" i="1" s="1"/>
  <c r="B124" i="1"/>
  <c r="C124" i="1" s="1"/>
  <c r="B135" i="1"/>
  <c r="C135" i="1" s="1"/>
  <c r="E135" i="1" s="1"/>
  <c r="B143" i="1"/>
  <c r="C143" i="1" s="1"/>
  <c r="B71" i="1"/>
  <c r="C71" i="1" s="1"/>
  <c r="E71" i="1" s="1"/>
  <c r="B35" i="1"/>
  <c r="C35" i="1" s="1"/>
  <c r="B230" i="1"/>
  <c r="C230" i="1" s="1"/>
  <c r="E230" i="1" s="1"/>
  <c r="B110" i="1"/>
  <c r="C110" i="1" s="1"/>
  <c r="E110" i="1" s="1"/>
  <c r="B102" i="1"/>
  <c r="C102" i="1" s="1"/>
  <c r="B90" i="1"/>
  <c r="C90" i="1" s="1"/>
  <c r="E90" i="1" s="1"/>
  <c r="B50" i="1"/>
  <c r="C50" i="1" s="1"/>
  <c r="E50" i="1" s="1"/>
  <c r="B38" i="1"/>
  <c r="C38" i="1" s="1"/>
  <c r="E38" i="1" s="1"/>
  <c r="B205" i="1"/>
  <c r="C205" i="1" s="1"/>
  <c r="E205" i="1" s="1"/>
  <c r="B93" i="1"/>
  <c r="C93" i="1" s="1"/>
  <c r="E93" i="1" s="1"/>
  <c r="B65" i="1"/>
  <c r="C65" i="1" s="1"/>
  <c r="E65" i="1" s="1"/>
  <c r="B41" i="1"/>
  <c r="C41" i="1" s="1"/>
  <c r="B204" i="1"/>
  <c r="C204" i="1" s="1"/>
  <c r="B212" i="1"/>
  <c r="C212" i="1" s="1"/>
  <c r="B203" i="1"/>
  <c r="C203" i="1" s="1"/>
  <c r="E203" i="1" s="1"/>
  <c r="B284" i="1"/>
  <c r="C284" i="1" s="1"/>
  <c r="E284" i="1" s="1"/>
  <c r="B259" i="1"/>
  <c r="C259" i="1" s="1"/>
  <c r="B286" i="1"/>
  <c r="C286" i="1" s="1"/>
  <c r="B257" i="1"/>
  <c r="C257" i="1" s="1"/>
  <c r="E257" i="1" s="1"/>
  <c r="B242" i="1"/>
  <c r="C242" i="1" s="1"/>
  <c r="B295" i="1"/>
  <c r="C295" i="1" s="1"/>
  <c r="E5" i="1"/>
  <c r="E277" i="2"/>
  <c r="D281" i="2"/>
  <c r="E281" i="2"/>
  <c r="E217" i="2"/>
  <c r="D217" i="2"/>
  <c r="E274" i="2"/>
  <c r="D274" i="2"/>
  <c r="B313" i="1"/>
  <c r="C313" i="1" s="1"/>
  <c r="B15" i="1"/>
  <c r="C15" i="1" s="1"/>
  <c r="B251" i="1"/>
  <c r="C251" i="1" s="1"/>
  <c r="B239" i="1"/>
  <c r="C239" i="1" s="1"/>
  <c r="B317" i="1"/>
  <c r="C317" i="1" s="1"/>
  <c r="B266" i="1"/>
  <c r="C266" i="1" s="1"/>
  <c r="B298" i="1"/>
  <c r="C298" i="1" s="1"/>
  <c r="B265" i="1"/>
  <c r="C265" i="1" s="1"/>
  <c r="E265" i="1" s="1"/>
  <c r="B312" i="1"/>
  <c r="C312" i="1" s="1"/>
  <c r="B280" i="1"/>
  <c r="C280" i="1" s="1"/>
  <c r="B211" i="1"/>
  <c r="C211" i="1" s="1"/>
  <c r="E211" i="1" s="1"/>
  <c r="B231" i="1"/>
  <c r="C231" i="1" s="1"/>
  <c r="E231" i="1" s="1"/>
  <c r="B24" i="1"/>
  <c r="C24" i="1" s="1"/>
  <c r="B216" i="1"/>
  <c r="C216" i="1" s="1"/>
  <c r="E216" i="1" s="1"/>
  <c r="B49" i="1"/>
  <c r="C49" i="1" s="1"/>
  <c r="B85" i="1"/>
  <c r="C85" i="1" s="1"/>
  <c r="E85" i="1" s="1"/>
  <c r="B229" i="1"/>
  <c r="C229" i="1" s="1"/>
  <c r="B18" i="1"/>
  <c r="C18" i="1" s="1"/>
  <c r="B44" i="1"/>
  <c r="C44" i="1" s="1"/>
  <c r="B62" i="1"/>
  <c r="C62" i="1" s="1"/>
  <c r="B84" i="1"/>
  <c r="C84" i="1" s="1"/>
  <c r="B94" i="1"/>
  <c r="C94" i="1" s="1"/>
  <c r="B108" i="1"/>
  <c r="C108" i="1" s="1"/>
  <c r="E108" i="1" s="1"/>
  <c r="B113" i="1"/>
  <c r="C113" i="1" s="1"/>
  <c r="B234" i="1"/>
  <c r="C234" i="1" s="1"/>
  <c r="E234" i="1" s="1"/>
  <c r="B27" i="1"/>
  <c r="C27" i="1" s="1"/>
  <c r="B47" i="1"/>
  <c r="C47" i="1" s="1"/>
  <c r="B83" i="1"/>
  <c r="C83" i="1" s="1"/>
  <c r="E83" i="1" s="1"/>
  <c r="B305" i="1"/>
  <c r="C305" i="1" s="1"/>
  <c r="B267" i="1"/>
  <c r="C267" i="1" s="1"/>
  <c r="B311" i="1"/>
  <c r="C311" i="1" s="1"/>
  <c r="E311" i="1" s="1"/>
  <c r="B246" i="1"/>
  <c r="C246" i="1" s="1"/>
  <c r="B309" i="1"/>
  <c r="C309" i="1" s="1"/>
  <c r="B252" i="1"/>
  <c r="C252" i="1" s="1"/>
  <c r="B294" i="1"/>
  <c r="C294" i="1" s="1"/>
  <c r="B261" i="1"/>
  <c r="C261" i="1" s="1"/>
  <c r="B308" i="1"/>
  <c r="C308" i="1" s="1"/>
  <c r="B276" i="1"/>
  <c r="C276" i="1" s="1"/>
  <c r="B215" i="1"/>
  <c r="C215" i="1" s="1"/>
  <c r="B220" i="1"/>
  <c r="C220" i="1" s="1"/>
  <c r="B200" i="1"/>
  <c r="C200" i="1" s="1"/>
  <c r="E200" i="1" s="1"/>
  <c r="B33" i="1"/>
  <c r="C33" i="1" s="1"/>
  <c r="B69" i="1"/>
  <c r="C69" i="1" s="1"/>
  <c r="E69" i="1" s="1"/>
  <c r="B213" i="1"/>
  <c r="C213" i="1" s="1"/>
  <c r="B233" i="1"/>
  <c r="C233" i="1" s="1"/>
  <c r="E233" i="1" s="1"/>
  <c r="B36" i="1"/>
  <c r="C36" i="1" s="1"/>
  <c r="E36" i="1" s="1"/>
  <c r="B54" i="1"/>
  <c r="C54" i="1" s="1"/>
  <c r="E54" i="1" s="1"/>
  <c r="B64" i="1"/>
  <c r="C64" i="1" s="1"/>
  <c r="B74" i="1"/>
  <c r="C74" i="1" s="1"/>
  <c r="E74" i="1" s="1"/>
  <c r="B96" i="1"/>
  <c r="C96" i="1" s="1"/>
  <c r="E96" i="1" s="1"/>
  <c r="B103" i="1"/>
  <c r="C103" i="1" s="1"/>
  <c r="B114" i="1"/>
  <c r="C114" i="1" s="1"/>
  <c r="E114" i="1" s="1"/>
  <c r="B214" i="1"/>
  <c r="C214" i="1" s="1"/>
  <c r="B31" i="1"/>
  <c r="C31" i="1" s="1"/>
  <c r="E31" i="1" s="1"/>
  <c r="B55" i="1"/>
  <c r="C55" i="1" s="1"/>
  <c r="B87" i="1"/>
  <c r="C87" i="1" s="1"/>
  <c r="B99" i="1"/>
  <c r="C99" i="1" s="1"/>
  <c r="B91" i="1"/>
  <c r="C91" i="1" s="1"/>
  <c r="E91" i="1" s="1"/>
  <c r="E189" i="2"/>
  <c r="D189" i="2"/>
  <c r="D43" i="2"/>
  <c r="E43" i="2"/>
  <c r="E65" i="2"/>
  <c r="D65" i="2"/>
  <c r="D201" i="2"/>
  <c r="E201" i="2"/>
  <c r="E26" i="2"/>
  <c r="D26" i="2"/>
  <c r="D47" i="2"/>
  <c r="E47" i="2"/>
  <c r="D161" i="2"/>
  <c r="E196" i="2"/>
  <c r="D196" i="2"/>
  <c r="D278" i="2"/>
  <c r="E278" i="2"/>
  <c r="E314" i="2"/>
  <c r="B195" i="1"/>
  <c r="C195" i="1" s="1"/>
  <c r="B162" i="1"/>
  <c r="C162" i="1" s="1"/>
  <c r="B118" i="1"/>
  <c r="C118" i="1" s="1"/>
  <c r="B181" i="1"/>
  <c r="C181" i="1" s="1"/>
  <c r="E181" i="1" s="1"/>
  <c r="B164" i="1"/>
  <c r="C164" i="1" s="1"/>
  <c r="E164" i="1" s="1"/>
  <c r="B140" i="1"/>
  <c r="C140" i="1" s="1"/>
  <c r="E140" i="1" s="1"/>
  <c r="B155" i="1"/>
  <c r="C155" i="1" s="1"/>
  <c r="B159" i="1"/>
  <c r="C159" i="1" s="1"/>
  <c r="E159" i="1" s="1"/>
  <c r="B75" i="1"/>
  <c r="C75" i="1" s="1"/>
  <c r="B63" i="1"/>
  <c r="C63" i="1" s="1"/>
  <c r="E63" i="1" s="1"/>
  <c r="B226" i="1"/>
  <c r="C226" i="1" s="1"/>
  <c r="E226" i="1" s="1"/>
  <c r="B115" i="1"/>
  <c r="C115" i="1" s="1"/>
  <c r="E115" i="1" s="1"/>
  <c r="B107" i="1"/>
  <c r="C107" i="1" s="1"/>
  <c r="B88" i="1"/>
  <c r="C88" i="1" s="1"/>
  <c r="E88" i="1" s="1"/>
  <c r="B72" i="1"/>
  <c r="C72" i="1" s="1"/>
  <c r="E72" i="1" s="1"/>
  <c r="B34" i="1"/>
  <c r="C34" i="1" s="1"/>
  <c r="E34" i="1" s="1"/>
  <c r="B201" i="1"/>
  <c r="C201" i="1" s="1"/>
  <c r="E201" i="1" s="1"/>
  <c r="B61" i="1"/>
  <c r="C61" i="1" s="1"/>
  <c r="E61" i="1" s="1"/>
  <c r="B37" i="1"/>
  <c r="C37" i="1" s="1"/>
  <c r="E37" i="1" s="1"/>
  <c r="B236" i="1"/>
  <c r="C236" i="1" s="1"/>
  <c r="E236" i="1" s="1"/>
  <c r="B208" i="1"/>
  <c r="C208" i="1" s="1"/>
  <c r="E208" i="1" s="1"/>
  <c r="B207" i="1"/>
  <c r="C207" i="1" s="1"/>
  <c r="B240" i="1"/>
  <c r="C240" i="1" s="1"/>
  <c r="E240" i="1" s="1"/>
  <c r="B292" i="1"/>
  <c r="C292" i="1" s="1"/>
  <c r="B247" i="1"/>
  <c r="C247" i="1" s="1"/>
  <c r="B302" i="1"/>
  <c r="C302" i="1" s="1"/>
  <c r="B277" i="1"/>
  <c r="C277" i="1" s="1"/>
  <c r="B283" i="1"/>
  <c r="C283" i="1" s="1"/>
  <c r="B262" i="1"/>
  <c r="C262" i="1" s="1"/>
  <c r="B273" i="1"/>
  <c r="C273" i="1" s="1"/>
  <c r="E294" i="2"/>
  <c r="D294" i="2"/>
  <c r="D56" i="2"/>
  <c r="E56" i="2"/>
  <c r="E89" i="2"/>
  <c r="D89" i="2"/>
  <c r="E157" i="2"/>
  <c r="D157" i="2"/>
  <c r="D94" i="2"/>
  <c r="E94" i="2"/>
  <c r="D23" i="2"/>
  <c r="E23" i="2"/>
  <c r="E273" i="2"/>
  <c r="D273" i="2"/>
  <c r="D285" i="2"/>
  <c r="E285" i="2"/>
  <c r="D163" i="2"/>
  <c r="E163" i="2"/>
  <c r="D236" i="2"/>
  <c r="D117" i="2"/>
  <c r="E117" i="2"/>
  <c r="E129" i="2"/>
  <c r="E247" i="2"/>
  <c r="E315" i="2"/>
  <c r="D315" i="2"/>
  <c r="E275" i="2"/>
  <c r="D275" i="2"/>
  <c r="E169" i="2"/>
  <c r="E305" i="2"/>
  <c r="D305" i="2"/>
  <c r="D182" i="2"/>
  <c r="E182" i="2"/>
  <c r="E53" i="2"/>
  <c r="D53" i="2"/>
  <c r="E181" i="2"/>
  <c r="D181" i="2"/>
  <c r="B56" i="1"/>
  <c r="C56" i="1" s="1"/>
  <c r="E56" i="1" s="1"/>
  <c r="B237" i="1"/>
  <c r="C237" i="1" s="1"/>
  <c r="B209" i="1"/>
  <c r="C209" i="1" s="1"/>
  <c r="B29" i="1"/>
  <c r="C29" i="1" s="1"/>
  <c r="E29" i="1" s="1"/>
  <c r="B232" i="1"/>
  <c r="C232" i="1" s="1"/>
  <c r="B32" i="1"/>
  <c r="C32" i="1" s="1"/>
  <c r="B151" i="1"/>
  <c r="C151" i="1" s="1"/>
  <c r="E151" i="1" s="1"/>
  <c r="B249" i="1"/>
  <c r="C249" i="1" s="1"/>
  <c r="B300" i="1"/>
  <c r="C300" i="1" s="1"/>
  <c r="E300" i="1" s="1"/>
  <c r="B270" i="1"/>
  <c r="C270" i="1" s="1"/>
  <c r="E270" i="1" s="1"/>
  <c r="B310" i="1"/>
  <c r="C310" i="1" s="1"/>
  <c r="B293" i="1"/>
  <c r="C293" i="1" s="1"/>
  <c r="B260" i="1"/>
  <c r="C260" i="1" s="1"/>
  <c r="B275" i="1"/>
  <c r="C275" i="1" s="1"/>
  <c r="B289" i="1"/>
  <c r="C289" i="1" s="1"/>
  <c r="E241" i="2"/>
  <c r="D241" i="2"/>
  <c r="D62" i="2"/>
  <c r="D218" i="2"/>
  <c r="E218" i="2"/>
  <c r="E266" i="2"/>
  <c r="D266" i="2"/>
  <c r="D286" i="2"/>
  <c r="E82" i="2"/>
  <c r="E117" i="3"/>
  <c r="E77" i="3"/>
  <c r="D77" i="3"/>
  <c r="E146" i="3"/>
  <c r="D146" i="3"/>
  <c r="D315" i="3"/>
  <c r="E315" i="3"/>
  <c r="D222" i="3"/>
  <c r="E222" i="3"/>
  <c r="E256" i="3"/>
  <c r="D256" i="3"/>
  <c r="E20" i="3"/>
  <c r="D20" i="3"/>
  <c r="D16" i="3"/>
  <c r="E16" i="3"/>
  <c r="D79" i="3"/>
  <c r="E79" i="3"/>
  <c r="E93" i="3"/>
  <c r="D93" i="3"/>
  <c r="D259" i="3"/>
  <c r="D152" i="3"/>
  <c r="E152" i="3"/>
  <c r="D179" i="3"/>
  <c r="E179" i="3"/>
  <c r="D88" i="3"/>
  <c r="E88" i="3"/>
  <c r="E235" i="3"/>
  <c r="E295" i="3"/>
  <c r="E289" i="3"/>
  <c r="E253" i="3"/>
  <c r="E185" i="3"/>
  <c r="E100" i="3"/>
  <c r="E128" i="3"/>
  <c r="E28" i="3"/>
  <c r="E31" i="3"/>
  <c r="E191" i="3"/>
  <c r="E66" i="3"/>
  <c r="E263" i="3"/>
  <c r="E18" i="3"/>
  <c r="E181" i="3"/>
  <c r="E161" i="3"/>
  <c r="E142" i="3"/>
  <c r="E304" i="3"/>
  <c r="E268" i="3"/>
  <c r="E226" i="3"/>
  <c r="E120" i="3"/>
  <c r="E53" i="3"/>
  <c r="E190" i="3"/>
  <c r="E174" i="3"/>
  <c r="D124" i="2"/>
  <c r="E70" i="3"/>
  <c r="E86" i="3"/>
  <c r="D86" i="3"/>
  <c r="E102" i="3"/>
  <c r="D102" i="3"/>
  <c r="D279" i="3"/>
  <c r="E279" i="3"/>
  <c r="D155" i="3"/>
  <c r="E216" i="3"/>
  <c r="D216" i="3"/>
  <c r="E55" i="3"/>
  <c r="D55" i="3"/>
  <c r="D145" i="3"/>
  <c r="E145" i="3"/>
  <c r="D241" i="3"/>
  <c r="E241" i="3"/>
  <c r="E69" i="3"/>
  <c r="D69" i="3"/>
  <c r="D199" i="3"/>
  <c r="E199" i="3"/>
  <c r="D224" i="3"/>
  <c r="E224" i="3"/>
  <c r="D231" i="3"/>
  <c r="E231" i="3"/>
  <c r="B244" i="2"/>
  <c r="C244" i="2" s="1"/>
  <c r="E244" i="2" s="1"/>
  <c r="H10" i="2" s="1"/>
  <c r="B67" i="2"/>
  <c r="C67" i="2" s="1"/>
  <c r="B164" i="2"/>
  <c r="C164" i="2" s="1"/>
  <c r="B156" i="2"/>
  <c r="C156" i="2" s="1"/>
  <c r="B298" i="2"/>
  <c r="C298" i="2" s="1"/>
  <c r="B263" i="2"/>
  <c r="C263" i="2" s="1"/>
  <c r="B183" i="2"/>
  <c r="C183" i="2" s="1"/>
  <c r="E63" i="3"/>
  <c r="D63" i="3"/>
  <c r="E170" i="3"/>
  <c r="D170" i="3"/>
  <c r="E35" i="3"/>
  <c r="D35" i="3"/>
  <c r="D56" i="3"/>
  <c r="E56" i="3"/>
  <c r="E163" i="3"/>
  <c r="D163" i="3"/>
  <c r="E225" i="3"/>
  <c r="D225" i="3"/>
  <c r="E277" i="3"/>
  <c r="D277" i="3"/>
  <c r="D274" i="3"/>
  <c r="E274" i="3"/>
  <c r="D309" i="2"/>
  <c r="E137" i="3"/>
  <c r="D137" i="3"/>
  <c r="E78" i="3"/>
  <c r="D78" i="3"/>
  <c r="E140" i="3"/>
  <c r="D140" i="3"/>
  <c r="E233" i="3"/>
  <c r="E309" i="3"/>
  <c r="D309" i="3"/>
  <c r="E99" i="3"/>
  <c r="E111" i="3"/>
  <c r="E72" i="3"/>
  <c r="E84" i="3"/>
  <c r="E209" i="3"/>
  <c r="E313" i="3"/>
  <c r="E286" i="3"/>
  <c r="E91" i="3"/>
  <c r="E101" i="3"/>
  <c r="E114" i="3"/>
  <c r="E123" i="3"/>
  <c r="E74" i="3"/>
  <c r="E106" i="3"/>
  <c r="E188" i="3"/>
  <c r="E307" i="3"/>
  <c r="E159" i="3"/>
  <c r="E210" i="3"/>
  <c r="E252" i="3"/>
  <c r="E261" i="3"/>
  <c r="E290" i="3"/>
  <c r="D167" i="7"/>
  <c r="D179" i="7"/>
  <c r="E71" i="3"/>
  <c r="E103" i="3"/>
  <c r="E22" i="3"/>
  <c r="E76" i="3"/>
  <c r="E96" i="3"/>
  <c r="E162" i="3"/>
  <c r="E139" i="3"/>
  <c r="E281" i="3"/>
  <c r="E250" i="3"/>
  <c r="B150" i="4"/>
  <c r="C150" i="4" s="1"/>
  <c r="B160" i="4"/>
  <c r="C160" i="4" s="1"/>
  <c r="B258" i="4"/>
  <c r="C258" i="4" s="1"/>
  <c r="B270" i="4"/>
  <c r="C270" i="4" s="1"/>
  <c r="B306" i="4"/>
  <c r="C306" i="4" s="1"/>
  <c r="B172" i="4"/>
  <c r="C172" i="4" s="1"/>
  <c r="E143" i="3"/>
  <c r="E193" i="3"/>
  <c r="E265" i="3"/>
  <c r="E125" i="3"/>
  <c r="E154" i="3"/>
  <c r="E39" i="3"/>
  <c r="E131" i="3"/>
  <c r="E68" i="3"/>
  <c r="E167" i="3"/>
  <c r="E245" i="3"/>
  <c r="E258" i="3"/>
  <c r="E314" i="3"/>
  <c r="E135" i="3"/>
  <c r="E24" i="3"/>
  <c r="E132" i="3"/>
  <c r="E165" i="3"/>
  <c r="E192" i="3"/>
  <c r="E144" i="3"/>
  <c r="E299" i="3"/>
  <c r="E246" i="3"/>
  <c r="E312" i="3"/>
  <c r="E262" i="3"/>
  <c r="E278" i="3"/>
  <c r="E318" i="3"/>
  <c r="E213" i="3"/>
  <c r="E87" i="3"/>
  <c r="E112" i="3"/>
  <c r="E171" i="3"/>
  <c r="E221" i="3"/>
  <c r="E296" i="3"/>
  <c r="I16" i="3"/>
  <c r="J16" i="3" s="1"/>
  <c r="D268" i="7"/>
  <c r="E138" i="1"/>
  <c r="E152" i="1"/>
  <c r="E154" i="1"/>
  <c r="E172" i="1"/>
  <c r="E198" i="1"/>
  <c r="E146" i="1"/>
  <c r="E150" i="1"/>
  <c r="E192" i="1"/>
  <c r="E119" i="1"/>
  <c r="E189" i="1"/>
  <c r="E139" i="1"/>
  <c r="E128" i="1"/>
  <c r="E134" i="1"/>
  <c r="E178" i="1"/>
  <c r="E149" i="1"/>
  <c r="E163" i="1"/>
  <c r="D73" i="2"/>
  <c r="E73" i="2"/>
  <c r="E20" i="2"/>
  <c r="D20" i="2"/>
  <c r="D256" i="2"/>
  <c r="E256" i="2"/>
  <c r="E153" i="1"/>
  <c r="D229" i="2"/>
  <c r="E229" i="2"/>
  <c r="D38" i="2"/>
  <c r="E38" i="2"/>
  <c r="D153" i="2"/>
  <c r="E153" i="2"/>
  <c r="E209" i="2"/>
  <c r="D209" i="2"/>
  <c r="D136" i="2"/>
  <c r="E162" i="1"/>
  <c r="E19" i="1"/>
  <c r="E214" i="1"/>
  <c r="E111" i="1"/>
  <c r="D221" i="2"/>
  <c r="D239" i="2"/>
  <c r="E239" i="2"/>
  <c r="E204" i="2"/>
  <c r="D204" i="2"/>
  <c r="D227" i="2"/>
  <c r="E227" i="2"/>
  <c r="E284" i="2"/>
  <c r="D284" i="2"/>
  <c r="E245" i="2"/>
  <c r="D245" i="2"/>
  <c r="E264" i="1"/>
  <c r="E27" i="3"/>
  <c r="D27" i="3"/>
  <c r="E138" i="3"/>
  <c r="D138" i="3"/>
  <c r="E200" i="2"/>
  <c r="D200" i="2"/>
  <c r="D259" i="2"/>
  <c r="E259" i="2"/>
  <c r="E45" i="2"/>
  <c r="D91" i="2"/>
  <c r="E91" i="2"/>
  <c r="E151" i="2"/>
  <c r="D151" i="2"/>
  <c r="E235" i="1"/>
  <c r="E60" i="1"/>
  <c r="E76" i="1"/>
  <c r="E92" i="1"/>
  <c r="E112" i="1"/>
  <c r="E23" i="1"/>
  <c r="E102" i="1"/>
  <c r="E84" i="1"/>
  <c r="E106" i="1"/>
  <c r="D41" i="2"/>
  <c r="D59" i="2"/>
  <c r="E59" i="2"/>
  <c r="E52" i="2"/>
  <c r="D52" i="2"/>
  <c r="E230" i="2"/>
  <c r="D230" i="2"/>
  <c r="E171" i="2"/>
  <c r="D171" i="2"/>
  <c r="D90" i="2"/>
  <c r="E90" i="2"/>
  <c r="E71" i="2"/>
  <c r="D71" i="2"/>
  <c r="D111" i="2"/>
  <c r="E111" i="2"/>
  <c r="E172" i="2"/>
  <c r="D172" i="2"/>
  <c r="E77" i="2"/>
  <c r="D106" i="2"/>
  <c r="E106" i="2"/>
  <c r="E80" i="2"/>
  <c r="D80" i="2"/>
  <c r="E42" i="2"/>
  <c r="D42" i="2"/>
  <c r="D105" i="2"/>
  <c r="E205" i="2"/>
  <c r="D205" i="2"/>
  <c r="E60" i="2"/>
  <c r="D104" i="2"/>
  <c r="E104" i="2"/>
  <c r="E36" i="3"/>
  <c r="D36" i="3"/>
  <c r="E186" i="3"/>
  <c r="D186" i="3"/>
  <c r="E196" i="3"/>
  <c r="D196" i="3"/>
  <c r="D16" i="2"/>
  <c r="E30" i="3"/>
  <c r="D30" i="3"/>
  <c r="E153" i="3"/>
  <c r="D153" i="3"/>
  <c r="D66" i="2"/>
  <c r="D32" i="2"/>
  <c r="E33" i="2"/>
  <c r="E105" i="3"/>
  <c r="D105" i="3"/>
  <c r="E124" i="3"/>
  <c r="D124" i="3"/>
  <c r="D308" i="3"/>
  <c r="E83" i="3"/>
  <c r="D83" i="3"/>
  <c r="E110" i="3"/>
  <c r="D110" i="3"/>
  <c r="D195" i="3"/>
  <c r="E195" i="3"/>
  <c r="E98" i="2"/>
  <c r="E208" i="2"/>
  <c r="D123" i="2"/>
  <c r="E123" i="2"/>
  <c r="E75" i="3"/>
  <c r="D75" i="3"/>
  <c r="D80" i="3"/>
  <c r="E80" i="3"/>
  <c r="D90" i="3"/>
  <c r="D168" i="3"/>
  <c r="E168" i="3"/>
  <c r="E52" i="3"/>
  <c r="D52" i="3"/>
  <c r="E133" i="3"/>
  <c r="D133" i="3"/>
  <c r="D291" i="3"/>
  <c r="E291" i="3"/>
  <c r="D38" i="3"/>
  <c r="E38" i="3"/>
  <c r="E157" i="3"/>
  <c r="D157" i="3"/>
  <c r="E292" i="3"/>
  <c r="D292" i="3"/>
  <c r="D57" i="3"/>
  <c r="E57" i="3"/>
  <c r="D166" i="3"/>
  <c r="E166" i="3"/>
  <c r="D307" i="3"/>
  <c r="D156" i="3"/>
  <c r="E156" i="3"/>
  <c r="E54" i="3"/>
  <c r="D54" i="3"/>
  <c r="D60" i="3"/>
  <c r="E200" i="3"/>
  <c r="D200" i="3"/>
  <c r="D208" i="3"/>
  <c r="E208" i="3"/>
  <c r="D239" i="3"/>
  <c r="E239" i="3"/>
  <c r="E212" i="3"/>
  <c r="D47" i="3"/>
  <c r="E47" i="3"/>
  <c r="E136" i="3"/>
  <c r="E180" i="3"/>
  <c r="E251" i="3"/>
  <c r="D251" i="3"/>
  <c r="D51" i="3"/>
  <c r="D21" i="3"/>
  <c r="E21" i="3"/>
  <c r="E67" i="3"/>
  <c r="E129" i="3"/>
  <c r="D129" i="3"/>
  <c r="E58" i="3"/>
  <c r="E65" i="3"/>
  <c r="D65" i="3"/>
  <c r="D164" i="3"/>
  <c r="E164" i="3"/>
  <c r="E189" i="3"/>
  <c r="D189" i="3"/>
  <c r="D214" i="3"/>
  <c r="E214" i="3"/>
  <c r="E45" i="3"/>
  <c r="D45" i="3"/>
  <c r="D184" i="3"/>
  <c r="E184" i="3"/>
  <c r="E267" i="3"/>
  <c r="D267" i="3"/>
  <c r="D113" i="3"/>
  <c r="E113" i="3"/>
  <c r="D48" i="3"/>
  <c r="E48" i="3"/>
  <c r="E108" i="3"/>
  <c r="D108" i="3"/>
  <c r="D149" i="3"/>
  <c r="E149" i="3"/>
  <c r="E147" i="3"/>
  <c r="D147" i="3"/>
  <c r="B12" i="4"/>
  <c r="I15" i="4"/>
  <c r="E185" i="7"/>
  <c r="D185" i="7"/>
  <c r="D97" i="3"/>
  <c r="E283" i="3"/>
  <c r="E81" i="3"/>
  <c r="D61" i="3"/>
  <c r="B146" i="4"/>
  <c r="C146" i="4" s="1"/>
  <c r="B207" i="4"/>
  <c r="C207" i="4" s="1"/>
  <c r="B277" i="4"/>
  <c r="C277" i="4" s="1"/>
  <c r="B162" i="4"/>
  <c r="C162" i="4" s="1"/>
  <c r="B57" i="4"/>
  <c r="C57" i="4" s="1"/>
  <c r="B316" i="4"/>
  <c r="C316" i="4" s="1"/>
  <c r="B310" i="4"/>
  <c r="C310" i="4" s="1"/>
  <c r="B304" i="4"/>
  <c r="C304" i="4" s="1"/>
  <c r="B298" i="4"/>
  <c r="C298" i="4" s="1"/>
  <c r="B252" i="4"/>
  <c r="C252" i="4" s="1"/>
  <c r="B246" i="4"/>
  <c r="C246" i="4" s="1"/>
  <c r="B159" i="4"/>
  <c r="C159" i="4" s="1"/>
  <c r="B156" i="4"/>
  <c r="C156" i="4" s="1"/>
  <c r="B145" i="4"/>
  <c r="C145" i="4" s="1"/>
  <c r="B142" i="4"/>
  <c r="C142" i="4" s="1"/>
  <c r="B126" i="4"/>
  <c r="C126" i="4" s="1"/>
  <c r="B110" i="4"/>
  <c r="C110" i="4" s="1"/>
  <c r="B104" i="4"/>
  <c r="C104" i="4" s="1"/>
  <c r="B101" i="4"/>
  <c r="C101" i="4" s="1"/>
  <c r="B95" i="4"/>
  <c r="C95" i="4" s="1"/>
  <c r="B83" i="4"/>
  <c r="C83" i="4" s="1"/>
  <c r="B269" i="4"/>
  <c r="C269" i="4" s="1"/>
  <c r="B222" i="4"/>
  <c r="C222" i="4" s="1"/>
  <c r="B216" i="4"/>
  <c r="C216" i="4" s="1"/>
  <c r="B210" i="4"/>
  <c r="C210" i="4" s="1"/>
  <c r="B204" i="4"/>
  <c r="C204" i="4" s="1"/>
  <c r="B195" i="4"/>
  <c r="C195" i="4" s="1"/>
  <c r="B244" i="4"/>
  <c r="C244" i="4" s="1"/>
  <c r="N13" i="4" s="1"/>
  <c r="B36" i="4"/>
  <c r="C36" i="4" s="1"/>
  <c r="B178" i="4"/>
  <c r="C178" i="4" s="1"/>
  <c r="B92" i="4"/>
  <c r="C92" i="4" s="1"/>
  <c r="B73" i="4"/>
  <c r="C73" i="4" s="1"/>
  <c r="B77" i="4"/>
  <c r="C77" i="4" s="1"/>
  <c r="B169" i="4"/>
  <c r="C169" i="4" s="1"/>
  <c r="B166" i="4"/>
  <c r="C166" i="4" s="1"/>
  <c r="B163" i="4"/>
  <c r="C163" i="4" s="1"/>
  <c r="B314" i="4"/>
  <c r="C314" i="4" s="1"/>
  <c r="B20" i="4"/>
  <c r="C20" i="4" s="1"/>
  <c r="B253" i="4"/>
  <c r="C253" i="4" s="1"/>
  <c r="B154" i="4"/>
  <c r="C154" i="4" s="1"/>
  <c r="B49" i="4"/>
  <c r="C49" i="4" s="1"/>
  <c r="B308" i="4"/>
  <c r="C308" i="4" s="1"/>
  <c r="B302" i="4"/>
  <c r="C302" i="4" s="1"/>
  <c r="B296" i="4"/>
  <c r="C296" i="4" s="1"/>
  <c r="B290" i="4"/>
  <c r="C290" i="4" s="1"/>
  <c r="B124" i="4"/>
  <c r="C124" i="4" s="1"/>
  <c r="B96" i="4"/>
  <c r="C96" i="4" s="1"/>
  <c r="B174" i="4"/>
  <c r="C174" i="4" s="1"/>
  <c r="B171" i="4"/>
  <c r="C171" i="4" s="1"/>
  <c r="B168" i="4"/>
  <c r="C168" i="4" s="1"/>
  <c r="B284" i="4"/>
  <c r="C284" i="4" s="1"/>
  <c r="B278" i="4"/>
  <c r="C278" i="4" s="1"/>
  <c r="B272" i="4"/>
  <c r="C272" i="4" s="1"/>
  <c r="B266" i="4"/>
  <c r="C266" i="4" s="1"/>
  <c r="B236" i="4"/>
  <c r="C236" i="4" s="1"/>
  <c r="B183" i="4"/>
  <c r="C183" i="4" s="1"/>
  <c r="B151" i="4"/>
  <c r="C151" i="4" s="1"/>
  <c r="B137" i="4"/>
  <c r="C137" i="4" s="1"/>
  <c r="B134" i="4"/>
  <c r="C134" i="4" s="1"/>
  <c r="B121" i="4"/>
  <c r="C121" i="4" s="1"/>
  <c r="B118" i="4"/>
  <c r="C118" i="4" s="1"/>
  <c r="B97" i="4"/>
  <c r="C97" i="4" s="1"/>
  <c r="B90" i="4"/>
  <c r="C90" i="4" s="1"/>
  <c r="B313" i="4"/>
  <c r="C313" i="4" s="1"/>
  <c r="B301" i="4"/>
  <c r="C301" i="4" s="1"/>
  <c r="B249" i="4"/>
  <c r="C249" i="4" s="1"/>
  <c r="B237" i="4"/>
  <c r="C237" i="4" s="1"/>
  <c r="B188" i="4"/>
  <c r="C188" i="4" s="1"/>
  <c r="B189" i="4"/>
  <c r="C189" i="4" s="1"/>
  <c r="B177" i="4"/>
  <c r="C177" i="4" s="1"/>
  <c r="B283" i="4"/>
  <c r="C283" i="4" s="1"/>
  <c r="E83" i="7"/>
  <c r="D34" i="7"/>
  <c r="D187" i="7"/>
  <c r="D195" i="7"/>
  <c r="D203" i="7"/>
  <c r="D211" i="7"/>
  <c r="D219" i="7"/>
  <c r="D257" i="7"/>
  <c r="D289" i="7"/>
  <c r="E179" i="7"/>
  <c r="E211" i="7"/>
  <c r="E147" i="7"/>
  <c r="D78" i="7"/>
  <c r="D142" i="7"/>
  <c r="D191" i="7"/>
  <c r="D241" i="7"/>
  <c r="D273" i="7"/>
  <c r="D305" i="7"/>
  <c r="D252" i="7"/>
  <c r="D284" i="7"/>
  <c r="D316" i="7"/>
  <c r="D43" i="7"/>
  <c r="E43" i="7"/>
  <c r="E187" i="7"/>
  <c r="D94" i="7"/>
  <c r="D158" i="7"/>
  <c r="E67" i="7"/>
  <c r="E131" i="7"/>
  <c r="E195" i="7"/>
  <c r="D110" i="7"/>
  <c r="D184" i="7"/>
  <c r="E115" i="7"/>
  <c r="E203" i="7"/>
  <c r="D62" i="7"/>
  <c r="D126" i="7"/>
  <c r="E219" i="7"/>
  <c r="E99" i="7"/>
  <c r="E163" i="7"/>
  <c r="E303" i="7"/>
  <c r="D303" i="7"/>
  <c r="D145" i="7"/>
  <c r="E145" i="7"/>
  <c r="D129" i="7"/>
  <c r="E129" i="7"/>
  <c r="D113" i="7"/>
  <c r="E113" i="7"/>
  <c r="D97" i="7"/>
  <c r="E97" i="7"/>
  <c r="D81" i="7"/>
  <c r="E81" i="7"/>
  <c r="D65" i="7"/>
  <c r="E65" i="7"/>
  <c r="D48" i="7"/>
  <c r="E48" i="7"/>
  <c r="D32" i="7"/>
  <c r="E32" i="7"/>
  <c r="D120" i="7"/>
  <c r="E120" i="7"/>
  <c r="D84" i="7"/>
  <c r="E84" i="7"/>
  <c r="E49" i="7"/>
  <c r="D49" i="7"/>
  <c r="E143" i="7"/>
  <c r="D143" i="7"/>
  <c r="E46" i="7"/>
  <c r="D46" i="7"/>
  <c r="D152" i="7"/>
  <c r="E152" i="7"/>
  <c r="D108" i="7"/>
  <c r="E108" i="7"/>
  <c r="D53" i="7"/>
  <c r="E53" i="7"/>
  <c r="D172" i="7"/>
  <c r="E172" i="7"/>
  <c r="D250" i="7"/>
  <c r="E250" i="7"/>
  <c r="E279" i="7"/>
  <c r="D279" i="7"/>
  <c r="D220" i="7"/>
  <c r="E220" i="7"/>
  <c r="D306" i="7"/>
  <c r="E306" i="7"/>
  <c r="E180" i="7"/>
  <c r="D180" i="7"/>
  <c r="E196" i="7"/>
  <c r="D196" i="7"/>
  <c r="E204" i="7"/>
  <c r="D204" i="7"/>
  <c r="E212" i="7"/>
  <c r="D212" i="7"/>
  <c r="D283" i="7"/>
  <c r="E283" i="7"/>
  <c r="D221" i="7"/>
  <c r="E246" i="7"/>
  <c r="D246" i="7"/>
  <c r="E310" i="7"/>
  <c r="D310" i="7"/>
  <c r="E261" i="7"/>
  <c r="D261" i="7"/>
  <c r="E293" i="7"/>
  <c r="D293" i="7"/>
  <c r="E240" i="7"/>
  <c r="H10" i="7" s="1"/>
  <c r="I39" i="7" s="1"/>
  <c r="D240" i="7"/>
  <c r="E272" i="7"/>
  <c r="D272" i="7"/>
  <c r="E304" i="7"/>
  <c r="D304" i="7"/>
  <c r="D24" i="7"/>
  <c r="D157" i="7"/>
  <c r="D125" i="7"/>
  <c r="D93" i="7"/>
  <c r="D35" i="7"/>
  <c r="D15" i="7"/>
  <c r="D76" i="7"/>
  <c r="D18" i="7"/>
  <c r="E221" i="7"/>
  <c r="D205" i="7"/>
  <c r="D98" i="7"/>
  <c r="D130" i="7"/>
  <c r="D162" i="7"/>
  <c r="D155" i="7"/>
  <c r="D139" i="7"/>
  <c r="D123" i="7"/>
  <c r="D107" i="7"/>
  <c r="D91" i="7"/>
  <c r="D75" i="7"/>
  <c r="D59" i="7"/>
  <c r="D19" i="7"/>
  <c r="D148" i="7"/>
  <c r="D132" i="7"/>
  <c r="D104" i="7"/>
  <c r="D72" i="7"/>
  <c r="D16" i="7"/>
  <c r="D168" i="7"/>
  <c r="D189" i="7"/>
  <c r="D197" i="7"/>
  <c r="D213" i="7"/>
  <c r="D223" i="7"/>
  <c r="D249" i="7"/>
  <c r="D265" i="7"/>
  <c r="D281" i="7"/>
  <c r="D297" i="7"/>
  <c r="D313" i="7"/>
  <c r="D260" i="7"/>
  <c r="D308" i="7"/>
  <c r="D51" i="7"/>
  <c r="D23" i="7"/>
  <c r="D170" i="7"/>
  <c r="D153" i="7"/>
  <c r="D137" i="7"/>
  <c r="D121" i="7"/>
  <c r="D105" i="7"/>
  <c r="D89" i="7"/>
  <c r="D73" i="7"/>
  <c r="D57" i="7"/>
  <c r="D30" i="7"/>
  <c r="D160" i="7"/>
  <c r="D100" i="7"/>
  <c r="D68" i="7"/>
  <c r="D17" i="7"/>
  <c r="D199" i="7"/>
  <c r="D36" i="7"/>
  <c r="D292" i="7"/>
  <c r="D54" i="7"/>
  <c r="D70" i="7"/>
  <c r="D86" i="7"/>
  <c r="D102" i="7"/>
  <c r="D118" i="7"/>
  <c r="D134" i="7"/>
  <c r="D150" i="7"/>
  <c r="D200" i="7"/>
  <c r="D25" i="7"/>
  <c r="E25" i="7"/>
  <c r="D161" i="7"/>
  <c r="E161" i="7"/>
  <c r="E159" i="7"/>
  <c r="D159" i="7"/>
  <c r="E127" i="7"/>
  <c r="D127" i="7"/>
  <c r="E20" i="7"/>
  <c r="D20" i="7"/>
  <c r="A176" i="7"/>
  <c r="D287" i="7"/>
  <c r="D230" i="7"/>
  <c r="D226" i="7"/>
  <c r="D214" i="7"/>
  <c r="D290" i="7"/>
  <c r="D274" i="7"/>
  <c r="D266" i="7"/>
  <c r="D234" i="7"/>
  <c r="D173" i="7"/>
  <c r="D311" i="7"/>
  <c r="D247" i="7"/>
  <c r="D218" i="7"/>
  <c r="D298" i="7"/>
  <c r="D282" i="7"/>
  <c r="D258" i="7"/>
  <c r="D169" i="7"/>
  <c r="D136" i="7"/>
  <c r="E136" i="7"/>
  <c r="D80" i="7"/>
  <c r="E80" i="7"/>
  <c r="E28" i="7"/>
  <c r="D28" i="7"/>
  <c r="D222" i="7"/>
  <c r="E222" i="7"/>
  <c r="E314" i="7"/>
  <c r="D314" i="7"/>
  <c r="D171" i="7"/>
  <c r="E171" i="7"/>
  <c r="E242" i="7"/>
  <c r="D242" i="7"/>
  <c r="E188" i="7"/>
  <c r="D188" i="7"/>
  <c r="D251" i="7"/>
  <c r="E251" i="7"/>
  <c r="D315" i="7"/>
  <c r="E315" i="7"/>
  <c r="D229" i="7"/>
  <c r="E229" i="7"/>
  <c r="E278" i="7"/>
  <c r="D278" i="7"/>
  <c r="E245" i="7"/>
  <c r="D245" i="7"/>
  <c r="E277" i="7"/>
  <c r="D277" i="7"/>
  <c r="E309" i="7"/>
  <c r="D309" i="7"/>
  <c r="E256" i="7"/>
  <c r="D256" i="7"/>
  <c r="E288" i="7"/>
  <c r="D288" i="7"/>
  <c r="D166" i="7"/>
  <c r="D141" i="7"/>
  <c r="D109" i="7"/>
  <c r="D77" i="7"/>
  <c r="D61" i="7"/>
  <c r="D112" i="7"/>
  <c r="D31" i="7"/>
  <c r="D66" i="7"/>
  <c r="D82" i="7"/>
  <c r="D114" i="7"/>
  <c r="D146" i="7"/>
  <c r="D192" i="7"/>
  <c r="D236" i="7"/>
  <c r="E63" i="7"/>
  <c r="E79" i="7"/>
  <c r="E95" i="7"/>
  <c r="E111" i="7"/>
  <c r="D151" i="7"/>
  <c r="D135" i="7"/>
  <c r="D119" i="7"/>
  <c r="D103" i="7"/>
  <c r="D87" i="7"/>
  <c r="D71" i="7"/>
  <c r="D55" i="7"/>
  <c r="D27" i="7"/>
  <c r="D164" i="7"/>
  <c r="D144" i="7"/>
  <c r="D124" i="7"/>
  <c r="D96" i="7"/>
  <c r="D64" i="7"/>
  <c r="D175" i="7"/>
  <c r="D228" i="7"/>
  <c r="D235" i="7"/>
  <c r="D267" i="7"/>
  <c r="D299" i="7"/>
  <c r="D217" i="7"/>
  <c r="D225" i="7"/>
  <c r="D233" i="7"/>
  <c r="D237" i="7"/>
  <c r="D253" i="7"/>
  <c r="D269" i="7"/>
  <c r="D285" i="7"/>
  <c r="D301" i="7"/>
  <c r="D317" i="7"/>
  <c r="D248" i="7"/>
  <c r="D264" i="7"/>
  <c r="D280" i="7"/>
  <c r="D296" i="7"/>
  <c r="D312" i="7"/>
  <c r="D47" i="7"/>
  <c r="D22" i="7"/>
  <c r="D165" i="7"/>
  <c r="D149" i="7"/>
  <c r="D133" i="7"/>
  <c r="D117" i="7"/>
  <c r="D101" i="7"/>
  <c r="D85" i="7"/>
  <c r="D69" i="7"/>
  <c r="D52" i="7"/>
  <c r="D29" i="7"/>
  <c r="D128" i="7"/>
  <c r="D92" i="7"/>
  <c r="D56" i="7"/>
  <c r="D41" i="7"/>
  <c r="D42" i="7"/>
  <c r="D45" i="7"/>
  <c r="D26" i="7"/>
  <c r="D276" i="7"/>
  <c r="D40" i="7"/>
  <c r="D58" i="7"/>
  <c r="D74" i="7"/>
  <c r="D90" i="7"/>
  <c r="D106" i="7"/>
  <c r="D122" i="7"/>
  <c r="D138" i="7"/>
  <c r="D154" i="7"/>
  <c r="D208" i="7"/>
  <c r="D300" i="7"/>
  <c r="I16" i="7"/>
  <c r="J16" i="7" s="1"/>
  <c r="E19" i="7"/>
  <c r="E23" i="7"/>
  <c r="D193" i="7"/>
  <c r="D244" i="7"/>
  <c r="E29" i="7"/>
  <c r="E35" i="7"/>
  <c r="E175" i="7"/>
  <c r="D207" i="7"/>
  <c r="E297" i="7"/>
  <c r="D37" i="7"/>
  <c r="D44" i="7"/>
  <c r="D181" i="7"/>
  <c r="E213" i="7"/>
  <c r="E313" i="7"/>
  <c r="E189" i="7"/>
  <c r="E197" i="7"/>
  <c r="D239" i="7"/>
  <c r="D271" i="7"/>
  <c r="E170" i="7"/>
  <c r="D178" i="7"/>
  <c r="D186" i="7"/>
  <c r="D194" i="7"/>
  <c r="D202" i="7"/>
  <c r="D210" i="7"/>
  <c r="E223" i="7"/>
  <c r="E241" i="7"/>
  <c r="E273" i="7"/>
  <c r="E305" i="7"/>
  <c r="E52" i="7"/>
  <c r="E56" i="7"/>
  <c r="E60" i="7"/>
  <c r="E64" i="7"/>
  <c r="E68" i="7"/>
  <c r="E72" i="7"/>
  <c r="E76" i="7"/>
  <c r="E88" i="7"/>
  <c r="E92" i="7"/>
  <c r="E96" i="7"/>
  <c r="E100" i="7"/>
  <c r="E104" i="7"/>
  <c r="E112" i="7"/>
  <c r="E116" i="7"/>
  <c r="E124" i="7"/>
  <c r="E128" i="7"/>
  <c r="E132" i="7"/>
  <c r="E140" i="7"/>
  <c r="E144" i="7"/>
  <c r="E148" i="7"/>
  <c r="E156" i="7"/>
  <c r="E160" i="7"/>
  <c r="E164" i="7"/>
  <c r="E252" i="7"/>
  <c r="E284" i="7"/>
  <c r="E316" i="7"/>
  <c r="E228" i="7"/>
  <c r="D174" i="7"/>
  <c r="D243" i="7"/>
  <c r="D259" i="7"/>
  <c r="D275" i="7"/>
  <c r="D291" i="7"/>
  <c r="D307" i="7"/>
  <c r="E235" i="7"/>
  <c r="E267" i="7"/>
  <c r="E299" i="7"/>
  <c r="D215" i="7"/>
  <c r="D227" i="7"/>
  <c r="D231" i="7"/>
  <c r="I34" i="7"/>
  <c r="I38" i="7" s="1"/>
  <c r="E24" i="7"/>
  <c r="D50" i="7"/>
  <c r="D201" i="7"/>
  <c r="E281" i="7"/>
  <c r="D38" i="7"/>
  <c r="E265" i="7"/>
  <c r="D183" i="7"/>
  <c r="E217" i="7"/>
  <c r="D33" i="7"/>
  <c r="E167" i="7"/>
  <c r="E191" i="7"/>
  <c r="E244" i="7"/>
  <c r="E308" i="7"/>
  <c r="E57" i="7"/>
  <c r="E61" i="7"/>
  <c r="E69" i="7"/>
  <c r="E73" i="7"/>
  <c r="E77" i="7"/>
  <c r="E85" i="7"/>
  <c r="E89" i="7"/>
  <c r="E93" i="7"/>
  <c r="E101" i="7"/>
  <c r="E105" i="7"/>
  <c r="E109" i="7"/>
  <c r="E117" i="7"/>
  <c r="E121" i="7"/>
  <c r="E125" i="7"/>
  <c r="E133" i="7"/>
  <c r="E137" i="7"/>
  <c r="E141" i="7"/>
  <c r="E149" i="7"/>
  <c r="E153" i="7"/>
  <c r="E157" i="7"/>
  <c r="E165" i="7"/>
  <c r="D263" i="7"/>
  <c r="D295" i="7"/>
  <c r="E248" i="7"/>
  <c r="E264" i="7"/>
  <c r="E280" i="7"/>
  <c r="E296" i="7"/>
  <c r="E312" i="7"/>
  <c r="D238" i="7"/>
  <c r="D254" i="7"/>
  <c r="D262" i="7"/>
  <c r="D270" i="7"/>
  <c r="D286" i="7"/>
  <c r="D294" i="7"/>
  <c r="D302" i="7"/>
  <c r="D318" i="7"/>
  <c r="D216" i="7"/>
  <c r="D224" i="7"/>
  <c r="D232" i="7"/>
  <c r="E15" i="7"/>
  <c r="D21" i="7"/>
  <c r="D177" i="7"/>
  <c r="D209" i="7"/>
  <c r="D39" i="7"/>
  <c r="E233" i="7"/>
  <c r="E249" i="7"/>
  <c r="D255" i="7"/>
  <c r="D182" i="7"/>
  <c r="D190" i="7"/>
  <c r="D198" i="7"/>
  <c r="D206" i="7"/>
  <c r="E257" i="7"/>
  <c r="E289" i="7"/>
  <c r="D176" i="3"/>
  <c r="E176" i="3"/>
  <c r="D68" i="2" l="1"/>
  <c r="D276" i="2"/>
  <c r="D255" i="3"/>
  <c r="D169" i="2"/>
  <c r="E247" i="3"/>
  <c r="D131" i="2"/>
  <c r="D227" i="1"/>
  <c r="I16" i="4"/>
  <c r="J16" i="4" s="1"/>
  <c r="D44" i="3"/>
  <c r="E139" i="2"/>
  <c r="E68" i="2"/>
  <c r="D115" i="2"/>
  <c r="E127" i="3"/>
  <c r="D113" i="2"/>
  <c r="D277" i="2"/>
  <c r="D112" i="2"/>
  <c r="D133" i="2"/>
  <c r="D29" i="2"/>
  <c r="D148" i="2"/>
  <c r="D234" i="2"/>
  <c r="D229" i="3"/>
  <c r="D162" i="2"/>
  <c r="D179" i="2"/>
  <c r="D303" i="2"/>
  <c r="D184" i="2"/>
  <c r="D170" i="2"/>
  <c r="D302" i="2"/>
  <c r="D219" i="2"/>
  <c r="D199" i="2"/>
  <c r="D190" i="2"/>
  <c r="D57" i="2"/>
  <c r="D301" i="2"/>
  <c r="D145" i="2"/>
  <c r="D185" i="2"/>
  <c r="D48" i="2"/>
  <c r="D109" i="2"/>
  <c r="D119" i="2"/>
  <c r="D60" i="2"/>
  <c r="D75" i="2"/>
  <c r="E33" i="3"/>
  <c r="D314" i="2"/>
  <c r="D279" i="2"/>
  <c r="D129" i="2"/>
  <c r="D28" i="2"/>
  <c r="D130" i="2"/>
  <c r="D143" i="2"/>
  <c r="D27" i="2"/>
  <c r="E89" i="3"/>
  <c r="D200" i="1"/>
  <c r="D182" i="1"/>
  <c r="E43" i="3"/>
  <c r="E264" i="3"/>
  <c r="D72" i="2"/>
  <c r="D308" i="2"/>
  <c r="D313" i="2"/>
  <c r="E228" i="3"/>
  <c r="D298" i="3"/>
  <c r="D134" i="3"/>
  <c r="D148" i="3"/>
  <c r="E27" i="2"/>
  <c r="E302" i="3"/>
  <c r="E254" i="3"/>
  <c r="E317" i="3"/>
  <c r="D30" i="1"/>
  <c r="D194" i="2"/>
  <c r="E15" i="3"/>
  <c r="E279" i="2"/>
  <c r="D275" i="3"/>
  <c r="D23" i="3"/>
  <c r="E227" i="3"/>
  <c r="D19" i="1"/>
  <c r="D193" i="2"/>
  <c r="D191" i="2"/>
  <c r="D187" i="2"/>
  <c r="D19" i="3"/>
  <c r="D32" i="3"/>
  <c r="D39" i="2"/>
  <c r="E28" i="2"/>
  <c r="D185" i="1"/>
  <c r="I16" i="2"/>
  <c r="J16" i="2" s="1"/>
  <c r="D82" i="3"/>
  <c r="E201" i="3"/>
  <c r="E130" i="2"/>
  <c r="E237" i="3"/>
  <c r="E75" i="2"/>
  <c r="E238" i="3"/>
  <c r="E143" i="2"/>
  <c r="E282" i="3"/>
  <c r="D46" i="3"/>
  <c r="D141" i="2"/>
  <c r="I39" i="2"/>
  <c r="E306" i="3"/>
  <c r="E178" i="3"/>
  <c r="E297" i="3"/>
  <c r="L22" i="8"/>
  <c r="L23" i="8" s="1"/>
  <c r="L24" i="8" s="1"/>
  <c r="B21" i="12"/>
  <c r="E273" i="3"/>
  <c r="E34" i="3"/>
  <c r="D271" i="2"/>
  <c r="D135" i="1"/>
  <c r="D17" i="2"/>
  <c r="D307" i="2"/>
  <c r="D173" i="1"/>
  <c r="D49" i="3"/>
  <c r="D154" i="2"/>
  <c r="D276" i="3"/>
  <c r="E17" i="2"/>
  <c r="E236" i="3"/>
  <c r="E173" i="1"/>
  <c r="E151" i="3"/>
  <c r="D116" i="3"/>
  <c r="E307" i="2"/>
  <c r="D246" i="2"/>
  <c r="I16" i="1"/>
  <c r="J16" i="1" s="1"/>
  <c r="E234" i="3"/>
  <c r="D50" i="1"/>
  <c r="E126" i="3"/>
  <c r="D151" i="1"/>
  <c r="D183" i="3"/>
  <c r="B9" i="12"/>
  <c r="I26" i="1"/>
  <c r="I22" i="1"/>
  <c r="I25" i="1"/>
  <c r="D40" i="2"/>
  <c r="D37" i="2"/>
  <c r="D214" i="1"/>
  <c r="D302" i="1"/>
  <c r="E177" i="3"/>
  <c r="D118" i="2"/>
  <c r="D250" i="2"/>
  <c r="E187" i="3"/>
  <c r="D173" i="3"/>
  <c r="D243" i="3"/>
  <c r="E250" i="2"/>
  <c r="D274" i="1"/>
  <c r="E158" i="3"/>
  <c r="I26" i="7"/>
  <c r="N14" i="7" s="1"/>
  <c r="D202" i="3"/>
  <c r="D42" i="3"/>
  <c r="D101" i="2"/>
  <c r="D155" i="2"/>
  <c r="D141" i="1"/>
  <c r="D210" i="2"/>
  <c r="D167" i="2"/>
  <c r="D142" i="1"/>
  <c r="D29" i="3"/>
  <c r="D84" i="1"/>
  <c r="D24" i="1"/>
  <c r="D317" i="1"/>
  <c r="D247" i="2"/>
  <c r="D45" i="2"/>
  <c r="D195" i="2"/>
  <c r="D114" i="2"/>
  <c r="D233" i="1"/>
  <c r="D36" i="1"/>
  <c r="D38" i="1"/>
  <c r="D104" i="1"/>
  <c r="D81" i="2"/>
  <c r="D142" i="2"/>
  <c r="D123" i="1"/>
  <c r="D134" i="1"/>
  <c r="D150" i="1"/>
  <c r="D187" i="1"/>
  <c r="E205" i="3"/>
  <c r="E167" i="2"/>
  <c r="D70" i="1"/>
  <c r="D162" i="1"/>
  <c r="E155" i="2"/>
  <c r="E195" i="2"/>
  <c r="D294" i="3"/>
  <c r="E260" i="3"/>
  <c r="D31" i="1"/>
  <c r="D59" i="1"/>
  <c r="D46" i="1"/>
  <c r="D202" i="1"/>
  <c r="D61" i="1"/>
  <c r="D160" i="1"/>
  <c r="D133" i="1"/>
  <c r="D189" i="1"/>
  <c r="D192" i="1"/>
  <c r="D183" i="1"/>
  <c r="D198" i="1"/>
  <c r="D83" i="1"/>
  <c r="D138" i="1"/>
  <c r="E115" i="3"/>
  <c r="D86" i="1"/>
  <c r="D92" i="3"/>
  <c r="D226" i="1"/>
  <c r="D34" i="1"/>
  <c r="D210" i="1"/>
  <c r="D37" i="1"/>
  <c r="D186" i="1"/>
  <c r="D193" i="1"/>
  <c r="D156" i="1"/>
  <c r="D128" i="1"/>
  <c r="D119" i="1"/>
  <c r="D171" i="1"/>
  <c r="E141" i="1"/>
  <c r="E101" i="2"/>
  <c r="D222" i="1"/>
  <c r="D240" i="1"/>
  <c r="D72" i="1"/>
  <c r="D96" i="1"/>
  <c r="E95" i="3"/>
  <c r="E104" i="3"/>
  <c r="D114" i="1"/>
  <c r="D201" i="1"/>
  <c r="D67" i="1"/>
  <c r="E210" i="2"/>
  <c r="D241" i="1"/>
  <c r="D163" i="1"/>
  <c r="D117" i="1"/>
  <c r="D209" i="1"/>
  <c r="D273" i="1"/>
  <c r="D88" i="1"/>
  <c r="D234" i="1"/>
  <c r="D313" i="1"/>
  <c r="E121" i="3"/>
  <c r="D215" i="2"/>
  <c r="D116" i="1"/>
  <c r="D53" i="1"/>
  <c r="D43" i="1"/>
  <c r="D54" i="1"/>
  <c r="D284" i="1"/>
  <c r="D82" i="1"/>
  <c r="D159" i="1"/>
  <c r="D230" i="1"/>
  <c r="D181" i="1"/>
  <c r="D149" i="1"/>
  <c r="E142" i="1"/>
  <c r="D148" i="1"/>
  <c r="D184" i="1"/>
  <c r="D136" i="1"/>
  <c r="E17" i="3"/>
  <c r="D159" i="2"/>
  <c r="D262" i="1"/>
  <c r="D107" i="1"/>
  <c r="D64" i="1"/>
  <c r="D89" i="1"/>
  <c r="D29" i="1"/>
  <c r="D225" i="1"/>
  <c r="D131" i="1"/>
  <c r="D236" i="1"/>
  <c r="D178" i="1"/>
  <c r="D139" i="1"/>
  <c r="D127" i="1"/>
  <c r="D146" i="1"/>
  <c r="D152" i="1"/>
  <c r="E24" i="1"/>
  <c r="D218" i="1"/>
  <c r="D69" i="1"/>
  <c r="E302" i="1"/>
  <c r="D115" i="1"/>
  <c r="D145" i="1"/>
  <c r="D165" i="1"/>
  <c r="D172" i="1"/>
  <c r="D154" i="1"/>
  <c r="D98" i="1"/>
  <c r="D57" i="1"/>
  <c r="D220" i="2"/>
  <c r="D138" i="2"/>
  <c r="D30" i="2"/>
  <c r="D70" i="2"/>
  <c r="D82" i="2"/>
  <c r="D297" i="2"/>
  <c r="D116" i="2"/>
  <c r="D208" i="2"/>
  <c r="D260" i="2"/>
  <c r="D146" i="2"/>
  <c r="D197" i="2"/>
  <c r="D63" i="2"/>
  <c r="D98" i="2"/>
  <c r="D166" i="2"/>
  <c r="D79" i="2"/>
  <c r="D83" i="2"/>
  <c r="D144" i="2"/>
  <c r="D312" i="2"/>
  <c r="D135" i="2"/>
  <c r="D96" i="2"/>
  <c r="E160" i="3"/>
  <c r="D125" i="2"/>
  <c r="D317" i="2"/>
  <c r="D152" i="2"/>
  <c r="D120" i="2"/>
  <c r="D198" i="2"/>
  <c r="D49" i="2"/>
  <c r="D101" i="1"/>
  <c r="D258" i="1"/>
  <c r="E316" i="3"/>
  <c r="D316" i="3"/>
  <c r="D288" i="3"/>
  <c r="E219" i="3"/>
  <c r="D22" i="2"/>
  <c r="D150" i="3"/>
  <c r="D203" i="1"/>
  <c r="D228" i="1"/>
  <c r="D102" i="2"/>
  <c r="D99" i="2"/>
  <c r="D168" i="2"/>
  <c r="D235" i="2"/>
  <c r="D110" i="1"/>
  <c r="D45" i="1"/>
  <c r="D264" i="2"/>
  <c r="D224" i="2"/>
  <c r="E270" i="3"/>
  <c r="D270" i="3"/>
  <c r="D269" i="3"/>
  <c r="D35" i="1"/>
  <c r="D88" i="2"/>
  <c r="D211" i="3"/>
  <c r="E211" i="3"/>
  <c r="L36" i="8"/>
  <c r="L37" i="8" s="1"/>
  <c r="M35" i="8"/>
  <c r="D231" i="2"/>
  <c r="E231" i="2"/>
  <c r="D108" i="2"/>
  <c r="D140" i="2"/>
  <c r="D86" i="2"/>
  <c r="D110" i="2"/>
  <c r="D56" i="1"/>
  <c r="I39" i="3"/>
  <c r="I40" i="3" s="1"/>
  <c r="I41" i="3" s="1"/>
  <c r="L34" i="3" s="1"/>
  <c r="L35" i="3" s="1"/>
  <c r="I38" i="3"/>
  <c r="D149" i="2"/>
  <c r="E149" i="2"/>
  <c r="D160" i="2"/>
  <c r="D33" i="2"/>
  <c r="D211" i="2"/>
  <c r="D233" i="2"/>
  <c r="D248" i="1"/>
  <c r="D223" i="2"/>
  <c r="D212" i="2"/>
  <c r="D248" i="2"/>
  <c r="D226" i="2"/>
  <c r="D178" i="2"/>
  <c r="D254" i="1"/>
  <c r="D177" i="1"/>
  <c r="D25" i="1"/>
  <c r="A176" i="2"/>
  <c r="B176" i="2" s="1"/>
  <c r="C176" i="2" s="1"/>
  <c r="D15" i="2"/>
  <c r="D261" i="2"/>
  <c r="D206" i="2"/>
  <c r="D249" i="2"/>
  <c r="D280" i="2"/>
  <c r="D186" i="2"/>
  <c r="D78" i="2"/>
  <c r="D213" i="2"/>
  <c r="D202" i="2"/>
  <c r="D272" i="2"/>
  <c r="D258" i="2"/>
  <c r="D289" i="2"/>
  <c r="D180" i="2"/>
  <c r="D126" i="2"/>
  <c r="D51" i="2"/>
  <c r="D188" i="2"/>
  <c r="D207" i="2"/>
  <c r="D251" i="2"/>
  <c r="D214" i="2"/>
  <c r="D158" i="2"/>
  <c r="D253" i="2"/>
  <c r="D36" i="2"/>
  <c r="D296" i="2"/>
  <c r="D69" i="2"/>
  <c r="D147" i="2"/>
  <c r="D283" i="2"/>
  <c r="D173" i="2"/>
  <c r="D232" i="2"/>
  <c r="D100" i="2"/>
  <c r="D238" i="2"/>
  <c r="D50" i="2"/>
  <c r="D290" i="2"/>
  <c r="D46" i="2"/>
  <c r="D267" i="2"/>
  <c r="D268" i="2"/>
  <c r="D225" i="2"/>
  <c r="D121" i="2"/>
  <c r="D300" i="2"/>
  <c r="D177" i="2"/>
  <c r="D318" i="2"/>
  <c r="D292" i="2"/>
  <c r="D175" i="2"/>
  <c r="D254" i="2"/>
  <c r="D93" i="2"/>
  <c r="D174" i="2"/>
  <c r="D293" i="2"/>
  <c r="D262" i="2"/>
  <c r="D237" i="2"/>
  <c r="D127" i="2"/>
  <c r="D97" i="2"/>
  <c r="D76" i="2"/>
  <c r="D85" i="2"/>
  <c r="D107" i="2"/>
  <c r="D21" i="2"/>
  <c r="D58" i="2"/>
  <c r="D64" i="2"/>
  <c r="D35" i="2"/>
  <c r="D299" i="2"/>
  <c r="D134" i="2"/>
  <c r="D282" i="2"/>
  <c r="D316" i="2"/>
  <c r="D18" i="2"/>
  <c r="D95" i="2"/>
  <c r="D228" i="2"/>
  <c r="D242" i="2"/>
  <c r="D304" i="2"/>
  <c r="D44" i="2"/>
  <c r="D19" i="2"/>
  <c r="D132" i="2"/>
  <c r="D240" i="2"/>
  <c r="D269" i="2"/>
  <c r="D252" i="2"/>
  <c r="D265" i="2"/>
  <c r="D270" i="2"/>
  <c r="D34" i="2"/>
  <c r="D55" i="2"/>
  <c r="E273" i="1"/>
  <c r="D144" i="1"/>
  <c r="I26" i="3"/>
  <c r="I22" i="3"/>
  <c r="I25" i="3"/>
  <c r="D92" i="2"/>
  <c r="D24" i="2"/>
  <c r="D87" i="2"/>
  <c r="D190" i="1"/>
  <c r="D28" i="1"/>
  <c r="D150" i="2"/>
  <c r="E150" i="2"/>
  <c r="E122" i="2"/>
  <c r="D122" i="2"/>
  <c r="D243" i="2"/>
  <c r="D287" i="2"/>
  <c r="D306" i="2"/>
  <c r="D61" i="2"/>
  <c r="D31" i="2"/>
  <c r="D311" i="2"/>
  <c r="E311" i="2"/>
  <c r="E128" i="2"/>
  <c r="D128" i="2"/>
  <c r="D84" i="2"/>
  <c r="D257" i="2"/>
  <c r="D103" i="2"/>
  <c r="D54" i="2"/>
  <c r="E237" i="1"/>
  <c r="D237" i="1"/>
  <c r="E87" i="1"/>
  <c r="D87" i="1"/>
  <c r="D220" i="1"/>
  <c r="E220" i="1"/>
  <c r="D246" i="1"/>
  <c r="E246" i="1"/>
  <c r="E113" i="1"/>
  <c r="D113" i="1"/>
  <c r="D259" i="1"/>
  <c r="E259" i="1"/>
  <c r="D243" i="1"/>
  <c r="E243" i="1"/>
  <c r="D224" i="1"/>
  <c r="E224" i="1"/>
  <c r="D97" i="1"/>
  <c r="E97" i="1"/>
  <c r="D140" i="1"/>
  <c r="D122" i="1"/>
  <c r="D67" i="2"/>
  <c r="E67" i="2"/>
  <c r="E249" i="1"/>
  <c r="D249" i="1"/>
  <c r="E283" i="1"/>
  <c r="D283" i="1"/>
  <c r="E55" i="1"/>
  <c r="D55" i="1"/>
  <c r="E215" i="1"/>
  <c r="D215" i="1"/>
  <c r="D311" i="1"/>
  <c r="D108" i="1"/>
  <c r="E49" i="1"/>
  <c r="D49" i="1"/>
  <c r="E298" i="1"/>
  <c r="D298" i="1"/>
  <c r="D71" i="1"/>
  <c r="D170" i="1"/>
  <c r="E170" i="1"/>
  <c r="D281" i="1"/>
  <c r="D318" i="1"/>
  <c r="E282" i="1"/>
  <c r="D282" i="1"/>
  <c r="E17" i="1"/>
  <c r="D17" i="1"/>
  <c r="E278" i="1"/>
  <c r="D278" i="1"/>
  <c r="D66" i="1"/>
  <c r="D158" i="1"/>
  <c r="D60" i="1"/>
  <c r="D271" i="1"/>
  <c r="D194" i="1"/>
  <c r="D137" i="1"/>
  <c r="D132" i="1"/>
  <c r="E64" i="1"/>
  <c r="N13" i="2"/>
  <c r="D244" i="2"/>
  <c r="D289" i="1"/>
  <c r="E289" i="1"/>
  <c r="E277" i="1"/>
  <c r="D277" i="1"/>
  <c r="E276" i="1"/>
  <c r="D276" i="1"/>
  <c r="D267" i="1"/>
  <c r="E267" i="1"/>
  <c r="D94" i="1"/>
  <c r="E94" i="1"/>
  <c r="D216" i="1"/>
  <c r="D266" i="1"/>
  <c r="E266" i="1"/>
  <c r="D219" i="1"/>
  <c r="D91" i="1"/>
  <c r="D265" i="1"/>
  <c r="D315" i="1"/>
  <c r="D205" i="1"/>
  <c r="D40" i="1"/>
  <c r="E250" i="1"/>
  <c r="D250" i="1"/>
  <c r="E316" i="1"/>
  <c r="D316" i="1"/>
  <c r="D111" i="1"/>
  <c r="D166" i="1"/>
  <c r="D42" i="1"/>
  <c r="D126" i="1"/>
  <c r="D164" i="2"/>
  <c r="E164" i="2"/>
  <c r="D208" i="1"/>
  <c r="D270" i="1"/>
  <c r="D275" i="1"/>
  <c r="E275" i="1"/>
  <c r="E118" i="1"/>
  <c r="D118" i="1"/>
  <c r="D308" i="1"/>
  <c r="E308" i="1"/>
  <c r="E305" i="1"/>
  <c r="D305" i="1"/>
  <c r="A176" i="1"/>
  <c r="D288" i="1"/>
  <c r="D290" i="1"/>
  <c r="D299" i="1"/>
  <c r="D255" i="1"/>
  <c r="D79" i="1"/>
  <c r="D206" i="1"/>
  <c r="D268" i="1"/>
  <c r="D245" i="1"/>
  <c r="D253" i="1"/>
  <c r="D238" i="1"/>
  <c r="D109" i="1"/>
  <c r="D217" i="1"/>
  <c r="D191" i="1"/>
  <c r="D179" i="1"/>
  <c r="D112" i="1"/>
  <c r="D296" i="1"/>
  <c r="D221" i="1"/>
  <c r="D120" i="1"/>
  <c r="D23" i="1"/>
  <c r="D269" i="1"/>
  <c r="D147" i="1"/>
  <c r="D48" i="1"/>
  <c r="D106" i="1"/>
  <c r="D39" i="1"/>
  <c r="D58" i="1"/>
  <c r="D199" i="1"/>
  <c r="D306" i="1"/>
  <c r="D244" i="1"/>
  <c r="D105" i="1"/>
  <c r="D197" i="1"/>
  <c r="D301" i="1"/>
  <c r="D256" i="1"/>
  <c r="D175" i="1"/>
  <c r="D285" i="1"/>
  <c r="D77" i="1"/>
  <c r="D157" i="1"/>
  <c r="D161" i="1"/>
  <c r="D196" i="1"/>
  <c r="D92" i="1"/>
  <c r="E143" i="1"/>
  <c r="D143" i="1"/>
  <c r="E129" i="1"/>
  <c r="D129" i="1"/>
  <c r="D307" i="1"/>
  <c r="D300" i="1"/>
  <c r="D125" i="1"/>
  <c r="D272" i="1"/>
  <c r="E272" i="1"/>
  <c r="D263" i="1"/>
  <c r="E263" i="1"/>
  <c r="D168" i="1"/>
  <c r="D121" i="1"/>
  <c r="D235" i="1"/>
  <c r="D167" i="1"/>
  <c r="D180" i="1"/>
  <c r="D183" i="2"/>
  <c r="E183" i="2"/>
  <c r="D260" i="1"/>
  <c r="E260" i="1"/>
  <c r="D32" i="1"/>
  <c r="E32" i="1"/>
  <c r="D247" i="1"/>
  <c r="E247" i="1"/>
  <c r="D213" i="1"/>
  <c r="E213" i="1"/>
  <c r="E261" i="1"/>
  <c r="D261" i="1"/>
  <c r="D62" i="1"/>
  <c r="E62" i="1"/>
  <c r="D231" i="1"/>
  <c r="D239" i="1"/>
  <c r="E239" i="1"/>
  <c r="D295" i="1"/>
  <c r="E295" i="1"/>
  <c r="D212" i="1"/>
  <c r="E212" i="1"/>
  <c r="D90" i="1"/>
  <c r="D153" i="1"/>
  <c r="E317" i="1"/>
  <c r="D303" i="1"/>
  <c r="D52" i="1"/>
  <c r="D63" i="1"/>
  <c r="D22" i="1"/>
  <c r="E22" i="1"/>
  <c r="D264" i="1"/>
  <c r="E20" i="1"/>
  <c r="D20" i="1"/>
  <c r="D130" i="1"/>
  <c r="D188" i="1"/>
  <c r="D174" i="1"/>
  <c r="E209" i="1"/>
  <c r="D93" i="1"/>
  <c r="D74" i="1"/>
  <c r="E263" i="2"/>
  <c r="D263" i="2"/>
  <c r="E293" i="1"/>
  <c r="D293" i="1"/>
  <c r="D232" i="1"/>
  <c r="E232" i="1"/>
  <c r="E292" i="1"/>
  <c r="D292" i="1"/>
  <c r="D75" i="1"/>
  <c r="E75" i="1"/>
  <c r="E195" i="1"/>
  <c r="D195" i="1"/>
  <c r="E103" i="1"/>
  <c r="D103" i="1"/>
  <c r="D294" i="1"/>
  <c r="E294" i="1"/>
  <c r="E47" i="1"/>
  <c r="D47" i="1"/>
  <c r="E44" i="1"/>
  <c r="D44" i="1"/>
  <c r="D211" i="1"/>
  <c r="D251" i="1"/>
  <c r="E251" i="1"/>
  <c r="D242" i="1"/>
  <c r="E242" i="1"/>
  <c r="D204" i="1"/>
  <c r="E204" i="1"/>
  <c r="D102" i="1"/>
  <c r="D124" i="1"/>
  <c r="E124" i="1"/>
  <c r="D169" i="1"/>
  <c r="E169" i="1"/>
  <c r="E258" i="1"/>
  <c r="D95" i="1"/>
  <c r="D65" i="1"/>
  <c r="D78" i="1"/>
  <c r="D314" i="1"/>
  <c r="D81" i="1"/>
  <c r="D291" i="1"/>
  <c r="E262" i="1"/>
  <c r="E298" i="2"/>
  <c r="D298" i="2"/>
  <c r="D310" i="1"/>
  <c r="E310" i="1"/>
  <c r="D33" i="1"/>
  <c r="E33" i="1"/>
  <c r="D252" i="1"/>
  <c r="E252" i="1"/>
  <c r="D27" i="1"/>
  <c r="E27" i="1"/>
  <c r="E18" i="1"/>
  <c r="D18" i="1"/>
  <c r="E280" i="1"/>
  <c r="D280" i="1"/>
  <c r="E15" i="1"/>
  <c r="D15" i="1"/>
  <c r="D257" i="1"/>
  <c r="D41" i="1"/>
  <c r="E41" i="1"/>
  <c r="D164" i="1"/>
  <c r="E313" i="1"/>
  <c r="D304" i="1"/>
  <c r="D76" i="1"/>
  <c r="E287" i="1"/>
  <c r="D287" i="1"/>
  <c r="D223" i="1"/>
  <c r="E279" i="1"/>
  <c r="D279" i="1"/>
  <c r="E21" i="1"/>
  <c r="D21" i="1"/>
  <c r="D80" i="1"/>
  <c r="D100" i="1"/>
  <c r="D51" i="1"/>
  <c r="D26" i="1"/>
  <c r="D85" i="1"/>
  <c r="E107" i="1"/>
  <c r="E35" i="1"/>
  <c r="D156" i="2"/>
  <c r="E156" i="2"/>
  <c r="E207" i="1"/>
  <c r="D207" i="1"/>
  <c r="D155" i="1"/>
  <c r="E155" i="1"/>
  <c r="E99" i="1"/>
  <c r="D99" i="1"/>
  <c r="D309" i="1"/>
  <c r="E309" i="1"/>
  <c r="E229" i="1"/>
  <c r="D229" i="1"/>
  <c r="E312" i="1"/>
  <c r="D312" i="1"/>
  <c r="D286" i="1"/>
  <c r="E286" i="1"/>
  <c r="D16" i="1"/>
  <c r="E16" i="1"/>
  <c r="D73" i="1"/>
  <c r="E73" i="1"/>
  <c r="D297" i="1"/>
  <c r="D68" i="1"/>
  <c r="I40" i="2"/>
  <c r="I41" i="2" s="1"/>
  <c r="L34" i="2" s="1"/>
  <c r="I21" i="2"/>
  <c r="I23" i="1"/>
  <c r="I24" i="1" s="1"/>
  <c r="I21" i="7"/>
  <c r="I10" i="7"/>
  <c r="E207" i="4"/>
  <c r="D146" i="4"/>
  <c r="D128" i="4"/>
  <c r="E235" i="4"/>
  <c r="E294" i="4"/>
  <c r="D288" i="4"/>
  <c r="E282" i="4"/>
  <c r="D240" i="4"/>
  <c r="D191" i="4"/>
  <c r="D153" i="4"/>
  <c r="E150" i="4"/>
  <c r="D99" i="4"/>
  <c r="D92" i="4"/>
  <c r="E261" i="4"/>
  <c r="D200" i="4"/>
  <c r="E194" i="4"/>
  <c r="D184" i="4"/>
  <c r="D277" i="4"/>
  <c r="D162" i="4"/>
  <c r="E57" i="4"/>
  <c r="E310" i="4"/>
  <c r="D304" i="4"/>
  <c r="E298" i="4"/>
  <c r="E140" i="4"/>
  <c r="D112" i="4"/>
  <c r="E175" i="4"/>
  <c r="D172" i="4"/>
  <c r="D178" i="4"/>
  <c r="E92" i="4"/>
  <c r="E73" i="4"/>
  <c r="D77" i="4"/>
  <c r="E166" i="4"/>
  <c r="E163" i="4"/>
  <c r="E314" i="4"/>
  <c r="E262" i="4"/>
  <c r="D256" i="4"/>
  <c r="E250" i="4"/>
  <c r="D161" i="4"/>
  <c r="E158" i="4"/>
  <c r="D148" i="4"/>
  <c r="E132" i="4"/>
  <c r="E129" i="4"/>
  <c r="E116" i="4"/>
  <c r="E113" i="4"/>
  <c r="D106" i="4"/>
  <c r="E94" i="4"/>
  <c r="E88" i="4"/>
  <c r="D85" i="4"/>
  <c r="E293" i="4"/>
  <c r="E281" i="4"/>
  <c r="D232" i="4"/>
  <c r="E226" i="4"/>
  <c r="D220" i="4"/>
  <c r="E251" i="4"/>
  <c r="D211" i="4"/>
  <c r="E244" i="4"/>
  <c r="H10" i="4" s="1"/>
  <c r="D253" i="4"/>
  <c r="D154" i="4"/>
  <c r="D176" i="4"/>
  <c r="E302" i="4"/>
  <c r="E290" i="4"/>
  <c r="E242" i="4"/>
  <c r="D144" i="4"/>
  <c r="E110" i="4"/>
  <c r="E102" i="4"/>
  <c r="E265" i="4"/>
  <c r="E218" i="4"/>
  <c r="E210" i="4"/>
  <c r="E202" i="4"/>
  <c r="E39" i="4"/>
  <c r="E295" i="4"/>
  <c r="E77" i="4"/>
  <c r="D67" i="4"/>
  <c r="D57" i="4"/>
  <c r="E48" i="4"/>
  <c r="D45" i="4"/>
  <c r="D171" i="4"/>
  <c r="E274" i="4"/>
  <c r="E266" i="4"/>
  <c r="E258" i="4"/>
  <c r="D149" i="4"/>
  <c r="D122" i="4"/>
  <c r="E118" i="4"/>
  <c r="D114" i="4"/>
  <c r="D98" i="4"/>
  <c r="E89" i="4"/>
  <c r="E313" i="4"/>
  <c r="E297" i="4"/>
  <c r="E245" i="4"/>
  <c r="E180" i="4"/>
  <c r="E177" i="4"/>
  <c r="E267" i="4"/>
  <c r="D217" i="4"/>
  <c r="D193" i="4"/>
  <c r="D73" i="4"/>
  <c r="E63" i="4"/>
  <c r="E54" i="4"/>
  <c r="E42" i="4"/>
  <c r="D205" i="4"/>
  <c r="D25" i="4"/>
  <c r="E29" i="4"/>
  <c r="D31" i="4"/>
  <c r="E30" i="4"/>
  <c r="E38" i="4"/>
  <c r="D226" i="4"/>
  <c r="E67" i="4"/>
  <c r="E37" i="4"/>
  <c r="E191" i="4"/>
  <c r="E304" i="4"/>
  <c r="D56" i="4"/>
  <c r="D120" i="4"/>
  <c r="E199" i="4"/>
  <c r="E312" i="4"/>
  <c r="D152" i="4"/>
  <c r="D249" i="4"/>
  <c r="E41" i="4"/>
  <c r="D70" i="4"/>
  <c r="D209" i="4"/>
  <c r="E227" i="4"/>
  <c r="E198" i="4"/>
  <c r="E230" i="4"/>
  <c r="D289" i="4"/>
  <c r="E103" i="4"/>
  <c r="D123" i="4"/>
  <c r="D139" i="4"/>
  <c r="E155" i="4"/>
  <c r="D276" i="4"/>
  <c r="E65" i="4"/>
  <c r="D69" i="4"/>
  <c r="D312" i="4"/>
  <c r="D157" i="4"/>
  <c r="E126" i="4"/>
  <c r="D109" i="4"/>
  <c r="E105" i="4"/>
  <c r="D101" i="4"/>
  <c r="D93" i="4"/>
  <c r="E277" i="4"/>
  <c r="D224" i="4"/>
  <c r="D216" i="4"/>
  <c r="D208" i="4"/>
  <c r="E176" i="4"/>
  <c r="E170" i="4"/>
  <c r="E164" i="4"/>
  <c r="D280" i="4"/>
  <c r="D272" i="4"/>
  <c r="D264" i="4"/>
  <c r="D187" i="4"/>
  <c r="E152" i="4"/>
  <c r="D138" i="4"/>
  <c r="E134" i="4"/>
  <c r="D130" i="4"/>
  <c r="E121" i="4"/>
  <c r="D117" i="4"/>
  <c r="D108" i="4"/>
  <c r="E97" i="4"/>
  <c r="E309" i="4"/>
  <c r="D192" i="4"/>
  <c r="E189" i="4"/>
  <c r="E315" i="4"/>
  <c r="D38" i="4"/>
  <c r="E279" i="4"/>
  <c r="D233" i="4"/>
  <c r="E76" i="4"/>
  <c r="D65" i="4"/>
  <c r="E56" i="4"/>
  <c r="E47" i="4"/>
  <c r="E44" i="4"/>
  <c r="D199" i="4"/>
  <c r="E34" i="4"/>
  <c r="E303" i="4"/>
  <c r="E255" i="4"/>
  <c r="D221" i="4"/>
  <c r="D16" i="4"/>
  <c r="E31" i="4"/>
  <c r="E18" i="4"/>
  <c r="D33" i="4"/>
  <c r="D64" i="4"/>
  <c r="D60" i="4"/>
  <c r="D89" i="4"/>
  <c r="D156" i="4"/>
  <c r="D237" i="4"/>
  <c r="D113" i="4"/>
  <c r="E53" i="4"/>
  <c r="D142" i="4"/>
  <c r="D245" i="4"/>
  <c r="D48" i="4"/>
  <c r="D174" i="4"/>
  <c r="D293" i="4"/>
  <c r="E215" i="4"/>
  <c r="D74" i="4"/>
  <c r="E247" i="4"/>
  <c r="E299" i="4"/>
  <c r="E206" i="4"/>
  <c r="D241" i="4"/>
  <c r="E49" i="4"/>
  <c r="D296" i="4"/>
  <c r="D248" i="4"/>
  <c r="E160" i="4"/>
  <c r="E156" i="4"/>
  <c r="E146" i="4"/>
  <c r="E142" i="4"/>
  <c r="D125" i="4"/>
  <c r="E112" i="4"/>
  <c r="E104" i="4"/>
  <c r="E100" i="4"/>
  <c r="E96" i="4"/>
  <c r="E84" i="4"/>
  <c r="D203" i="4"/>
  <c r="E124" i="4"/>
  <c r="D96" i="4"/>
  <c r="E21" i="4"/>
  <c r="E174" i="4"/>
  <c r="D168" i="4"/>
  <c r="E286" i="4"/>
  <c r="E278" i="4"/>
  <c r="E270" i="4"/>
  <c r="E238" i="4"/>
  <c r="D183" i="4"/>
  <c r="E137" i="4"/>
  <c r="D133" i="4"/>
  <c r="D124" i="4"/>
  <c r="E120" i="4"/>
  <c r="D107" i="4"/>
  <c r="D91" i="4"/>
  <c r="E253" i="4"/>
  <c r="E237" i="4"/>
  <c r="D228" i="4"/>
  <c r="D317" i="4"/>
  <c r="D235" i="4"/>
  <c r="E318" i="4"/>
  <c r="E306" i="4"/>
  <c r="E254" i="4"/>
  <c r="E246" i="4"/>
  <c r="E154" i="4"/>
  <c r="D145" i="4"/>
  <c r="D141" i="4"/>
  <c r="E128" i="4"/>
  <c r="D90" i="4"/>
  <c r="E249" i="4"/>
  <c r="D181" i="4"/>
  <c r="D225" i="4"/>
  <c r="E182" i="4"/>
  <c r="E79" i="4"/>
  <c r="E243" i="4"/>
  <c r="D207" i="4"/>
  <c r="D23" i="4"/>
  <c r="D47" i="4"/>
  <c r="D32" i="4"/>
  <c r="E43" i="4"/>
  <c r="E172" i="4"/>
  <c r="D281" i="4"/>
  <c r="D297" i="4"/>
  <c r="D136" i="4"/>
  <c r="D285" i="4"/>
  <c r="D105" i="4"/>
  <c r="D269" i="4"/>
  <c r="D42" i="4"/>
  <c r="D82" i="4"/>
  <c r="D227" i="4"/>
  <c r="E214" i="4"/>
  <c r="D273" i="4"/>
  <c r="D95" i="4"/>
  <c r="E123" i="4"/>
  <c r="E143" i="4"/>
  <c r="D159" i="4"/>
  <c r="D260" i="4"/>
  <c r="E292" i="4"/>
  <c r="E165" i="4"/>
  <c r="E197" i="4"/>
  <c r="E40" i="4"/>
  <c r="E58" i="4"/>
  <c r="D76" i="4"/>
  <c r="D134" i="4"/>
  <c r="E138" i="4"/>
  <c r="E133" i="4"/>
  <c r="E192" i="4"/>
  <c r="E224" i="4"/>
  <c r="D258" i="4"/>
  <c r="D290" i="4"/>
  <c r="E35" i="4"/>
  <c r="E217" i="4"/>
  <c r="D263" i="4"/>
  <c r="D303" i="4"/>
  <c r="E145" i="4"/>
  <c r="D83" i="4"/>
  <c r="E269" i="4"/>
  <c r="E64" i="4"/>
  <c r="E60" i="4"/>
  <c r="E52" i="4"/>
  <c r="E291" i="4"/>
  <c r="D213" i="4"/>
  <c r="D51" i="4"/>
  <c r="D15" i="4"/>
  <c r="D34" i="4"/>
  <c r="E59" i="4"/>
  <c r="D166" i="4"/>
  <c r="D301" i="4"/>
  <c r="E296" i="4"/>
  <c r="D150" i="4"/>
  <c r="D309" i="4"/>
  <c r="D137" i="4"/>
  <c r="D313" i="4"/>
  <c r="E83" i="4"/>
  <c r="E82" i="4"/>
  <c r="D299" i="4"/>
  <c r="D214" i="4"/>
  <c r="E273" i="4"/>
  <c r="D103" i="4"/>
  <c r="E127" i="4"/>
  <c r="D143" i="4"/>
  <c r="E179" i="4"/>
  <c r="E260" i="4"/>
  <c r="D300" i="4"/>
  <c r="E169" i="4"/>
  <c r="D24" i="4"/>
  <c r="E16" i="4"/>
  <c r="D27" i="4"/>
  <c r="D80" i="4"/>
  <c r="D163" i="4"/>
  <c r="D180" i="4"/>
  <c r="E141" i="4"/>
  <c r="E196" i="4"/>
  <c r="E228" i="4"/>
  <c r="D262" i="4"/>
  <c r="D294" i="4"/>
  <c r="D186" i="4"/>
  <c r="E221" i="4"/>
  <c r="D267" i="4"/>
  <c r="D307" i="4"/>
  <c r="D190" i="4"/>
  <c r="E317" i="4"/>
  <c r="D212" i="4"/>
  <c r="E263" i="4"/>
  <c r="E72" i="4"/>
  <c r="E68" i="4"/>
  <c r="D231" i="4"/>
  <c r="E239" i="4"/>
  <c r="E33" i="4"/>
  <c r="D55" i="4"/>
  <c r="E17" i="4"/>
  <c r="E75" i="4"/>
  <c r="E153" i="4"/>
  <c r="E240" i="4"/>
  <c r="E45" i="4"/>
  <c r="D158" i="4"/>
  <c r="E248" i="4"/>
  <c r="D160" i="4"/>
  <c r="E256" i="4"/>
  <c r="D66" i="4"/>
  <c r="E209" i="4"/>
  <c r="D185" i="4"/>
  <c r="E222" i="4"/>
  <c r="E289" i="4"/>
  <c r="E111" i="4"/>
  <c r="D127" i="4"/>
  <c r="E147" i="4"/>
  <c r="D179" i="4"/>
  <c r="D268" i="4"/>
  <c r="E300" i="4"/>
  <c r="D169" i="4"/>
  <c r="E24" i="4"/>
  <c r="E99" i="4"/>
  <c r="E27" i="4"/>
  <c r="D86" i="4"/>
  <c r="E90" i="4"/>
  <c r="E85" i="4"/>
  <c r="E149" i="4"/>
  <c r="E200" i="4"/>
  <c r="E232" i="4"/>
  <c r="D266" i="4"/>
  <c r="D298" i="4"/>
  <c r="D177" i="4"/>
  <c r="E225" i="4"/>
  <c r="D271" i="4"/>
  <c r="D315" i="4"/>
  <c r="E81" i="4"/>
  <c r="D219" i="4"/>
  <c r="D81" i="4"/>
  <c r="E55" i="4"/>
  <c r="E51" i="4"/>
  <c r="D43" i="4"/>
  <c r="E275" i="4"/>
  <c r="E23" i="4"/>
  <c r="D36" i="4"/>
  <c r="D63" i="4"/>
  <c r="E19" i="4"/>
  <c r="D121" i="4"/>
  <c r="D164" i="4"/>
  <c r="E272" i="4"/>
  <c r="E61" i="4"/>
  <c r="D170" i="4"/>
  <c r="E280" i="4"/>
  <c r="E161" i="4"/>
  <c r="E288" i="4"/>
  <c r="E66" i="4"/>
  <c r="D247" i="4"/>
  <c r="E185" i="4"/>
  <c r="D222" i="4"/>
  <c r="D305" i="4"/>
  <c r="D111" i="4"/>
  <c r="D131" i="4"/>
  <c r="D147" i="4"/>
  <c r="D236" i="4"/>
  <c r="E268" i="4"/>
  <c r="D308" i="4"/>
  <c r="D173" i="4"/>
  <c r="E259" i="4"/>
  <c r="D229" i="4"/>
  <c r="D62" i="4"/>
  <c r="D94" i="4"/>
  <c r="E98" i="4"/>
  <c r="E93" i="4"/>
  <c r="D167" i="4"/>
  <c r="E204" i="4"/>
  <c r="D238" i="4"/>
  <c r="D270" i="4"/>
  <c r="D302" i="4"/>
  <c r="E181" i="4"/>
  <c r="E233" i="4"/>
  <c r="D275" i="4"/>
  <c r="D52" i="4"/>
  <c r="E136" i="4"/>
  <c r="E234" i="4"/>
  <c r="E62" i="4"/>
  <c r="D59" i="4"/>
  <c r="D26" i="4"/>
  <c r="D17" i="4"/>
  <c r="E28" i="4"/>
  <c r="E20" i="4"/>
  <c r="D35" i="4"/>
  <c r="E264" i="4"/>
  <c r="D84" i="4"/>
  <c r="D202" i="4"/>
  <c r="D39" i="4"/>
  <c r="D97" i="4"/>
  <c r="E157" i="4"/>
  <c r="D175" i="4"/>
  <c r="D218" i="4"/>
  <c r="E287" i="4"/>
  <c r="E70" i="4"/>
  <c r="E311" i="4"/>
  <c r="D188" i="4"/>
  <c r="D230" i="4"/>
  <c r="E305" i="4"/>
  <c r="D115" i="4"/>
  <c r="E131" i="4"/>
  <c r="E151" i="4"/>
  <c r="E236" i="4"/>
  <c r="E276" i="4"/>
  <c r="E308" i="4"/>
  <c r="E173" i="4"/>
  <c r="D259" i="4"/>
  <c r="E229" i="4"/>
  <c r="E107" i="4"/>
  <c r="D102" i="4"/>
  <c r="E106" i="4"/>
  <c r="E101" i="4"/>
  <c r="E171" i="4"/>
  <c r="E208" i="4"/>
  <c r="D242" i="4"/>
  <c r="D274" i="4"/>
  <c r="D306" i="4"/>
  <c r="E193" i="4"/>
  <c r="D239" i="4"/>
  <c r="D279" i="4"/>
  <c r="E167" i="4"/>
  <c r="E162" i="4"/>
  <c r="E285" i="4"/>
  <c r="E283" i="4"/>
  <c r="D201" i="4"/>
  <c r="E80" i="4"/>
  <c r="E71" i="4"/>
  <c r="D223" i="4"/>
  <c r="E186" i="4"/>
  <c r="E271" i="4"/>
  <c r="D18" i="4"/>
  <c r="E108" i="4"/>
  <c r="E148" i="4"/>
  <c r="E86" i="4"/>
  <c r="D196" i="4"/>
  <c r="E178" i="4"/>
  <c r="D53" i="4"/>
  <c r="D49" i="4"/>
  <c r="E307" i="4"/>
  <c r="D22" i="4"/>
  <c r="D19" i="4"/>
  <c r="E25" i="4"/>
  <c r="D44" i="4"/>
  <c r="D79" i="4"/>
  <c r="D116" i="4"/>
  <c r="E211" i="4"/>
  <c r="E187" i="4"/>
  <c r="D88" i="4"/>
  <c r="E219" i="4"/>
  <c r="E144" i="4"/>
  <c r="E203" i="4"/>
  <c r="D41" i="4"/>
  <c r="D78" i="4"/>
  <c r="E195" i="4"/>
  <c r="D198" i="4"/>
  <c r="D257" i="4"/>
  <c r="D87" i="4"/>
  <c r="E119" i="4"/>
  <c r="D135" i="4"/>
  <c r="D155" i="4"/>
  <c r="D252" i="4"/>
  <c r="E284" i="4"/>
  <c r="E316" i="4"/>
  <c r="E91" i="4"/>
  <c r="E50" i="4"/>
  <c r="E46" i="4"/>
  <c r="D68" i="4"/>
  <c r="D118" i="4"/>
  <c r="E122" i="4"/>
  <c r="E117" i="4"/>
  <c r="D189" i="4"/>
  <c r="E216" i="4"/>
  <c r="D250" i="4"/>
  <c r="D282" i="4"/>
  <c r="D314" i="4"/>
  <c r="E205" i="4"/>
  <c r="D251" i="4"/>
  <c r="D291" i="4"/>
  <c r="D21" i="4"/>
  <c r="D71" i="4"/>
  <c r="D129" i="4"/>
  <c r="D287" i="4"/>
  <c r="E241" i="4"/>
  <c r="D151" i="4"/>
  <c r="D54" i="4"/>
  <c r="D110" i="4"/>
  <c r="E212" i="4"/>
  <c r="E201" i="4"/>
  <c r="E22" i="4"/>
  <c r="D20" i="4"/>
  <c r="D37" i="4"/>
  <c r="D29" i="4"/>
  <c r="E168" i="4"/>
  <c r="D104" i="4"/>
  <c r="D215" i="4"/>
  <c r="E257" i="4"/>
  <c r="E159" i="4"/>
  <c r="D197" i="4"/>
  <c r="D126" i="4"/>
  <c r="E220" i="4"/>
  <c r="E213" i="4"/>
  <c r="D100" i="4"/>
  <c r="D210" i="4"/>
  <c r="E74" i="4"/>
  <c r="E87" i="4"/>
  <c r="D244" i="4"/>
  <c r="D50" i="4"/>
  <c r="E114" i="4"/>
  <c r="D246" i="4"/>
  <c r="D243" i="4"/>
  <c r="E36" i="4"/>
  <c r="D132" i="4"/>
  <c r="D265" i="4"/>
  <c r="E78" i="4"/>
  <c r="E95" i="4"/>
  <c r="E252" i="4"/>
  <c r="D40" i="4"/>
  <c r="E130" i="4"/>
  <c r="D254" i="4"/>
  <c r="D255" i="4"/>
  <c r="D140" i="4"/>
  <c r="E69" i="4"/>
  <c r="E190" i="4"/>
  <c r="D234" i="4"/>
  <c r="E15" i="4"/>
  <c r="D311" i="4"/>
  <c r="E115" i="4"/>
  <c r="D284" i="4"/>
  <c r="D46" i="4"/>
  <c r="E109" i="4"/>
  <c r="D278" i="4"/>
  <c r="D283" i="4"/>
  <c r="D204" i="4"/>
  <c r="D75" i="4"/>
  <c r="D194" i="4"/>
  <c r="E183" i="4"/>
  <c r="E188" i="4"/>
  <c r="E135" i="4"/>
  <c r="D316" i="4"/>
  <c r="E26" i="4"/>
  <c r="D182" i="4"/>
  <c r="D310" i="4"/>
  <c r="D61" i="4"/>
  <c r="E231" i="4"/>
  <c r="E223" i="4"/>
  <c r="D206" i="4"/>
  <c r="E139" i="4"/>
  <c r="D165" i="4"/>
  <c r="D72" i="4"/>
  <c r="E184" i="4"/>
  <c r="D318" i="4"/>
  <c r="D58" i="4"/>
  <c r="E125" i="4"/>
  <c r="D286" i="4"/>
  <c r="E301" i="4"/>
  <c r="E32" i="4"/>
  <c r="D261" i="4"/>
  <c r="D295" i="4"/>
  <c r="D30" i="4"/>
  <c r="D28" i="4"/>
  <c r="D195" i="4"/>
  <c r="D119" i="4"/>
  <c r="D292" i="4"/>
  <c r="I27" i="1"/>
  <c r="I28" i="1" s="1"/>
  <c r="L21" i="1" s="1"/>
  <c r="N13" i="1"/>
  <c r="N14" i="1" s="1"/>
  <c r="B176" i="7"/>
  <c r="C176" i="7" s="1"/>
  <c r="E176" i="7" s="1"/>
  <c r="M23" i="8" l="1"/>
  <c r="M22" i="8"/>
  <c r="L25" i="8"/>
  <c r="O24" i="8"/>
  <c r="O23" i="8"/>
  <c r="M24" i="8"/>
  <c r="B15" i="12"/>
  <c r="E176" i="2"/>
  <c r="D176" i="2"/>
  <c r="M36" i="8"/>
  <c r="O36" i="8"/>
  <c r="L38" i="8"/>
  <c r="N14" i="3"/>
  <c r="I27" i="3"/>
  <c r="I28" i="3" s="1"/>
  <c r="L21" i="3" s="1"/>
  <c r="M34" i="3"/>
  <c r="I23" i="3"/>
  <c r="I24" i="3" s="1"/>
  <c r="B176" i="1"/>
  <c r="C176" i="1" s="1"/>
  <c r="E176" i="1" s="1"/>
  <c r="I25" i="7"/>
  <c r="I22" i="7"/>
  <c r="I23" i="7" s="1"/>
  <c r="M34" i="2"/>
  <c r="L35" i="2"/>
  <c r="L36" i="2" s="1"/>
  <c r="O23" i="1"/>
  <c r="O35" i="3"/>
  <c r="M35" i="3"/>
  <c r="L36" i="3"/>
  <c r="I26" i="2"/>
  <c r="I22" i="2"/>
  <c r="I25" i="2"/>
  <c r="M21" i="1"/>
  <c r="L22" i="1"/>
  <c r="M22" i="1" s="1"/>
  <c r="I39" i="4"/>
  <c r="I21" i="4"/>
  <c r="I27" i="7"/>
  <c r="I40" i="7"/>
  <c r="D176" i="7"/>
  <c r="B17" i="12" l="1"/>
  <c r="L26" i="8"/>
  <c r="O26" i="8" s="1"/>
  <c r="M25" i="8"/>
  <c r="O25" i="8"/>
  <c r="L23" i="1"/>
  <c r="M23" i="1" s="1"/>
  <c r="D176" i="1"/>
  <c r="M37" i="8"/>
  <c r="O37" i="8"/>
  <c r="M21" i="3"/>
  <c r="L22" i="3"/>
  <c r="O14" i="3"/>
  <c r="N15" i="3"/>
  <c r="O15" i="3" s="1"/>
  <c r="L37" i="2"/>
  <c r="M36" i="2"/>
  <c r="O36" i="2"/>
  <c r="N14" i="2"/>
  <c r="I27" i="2"/>
  <c r="I28" i="2" s="1"/>
  <c r="L21" i="2" s="1"/>
  <c r="I22" i="4"/>
  <c r="I26" i="4"/>
  <c r="I25" i="4"/>
  <c r="L37" i="3"/>
  <c r="M36" i="3"/>
  <c r="O36" i="3"/>
  <c r="I40" i="4"/>
  <c r="I41" i="4" s="1"/>
  <c r="L34" i="4" s="1"/>
  <c r="M35" i="2"/>
  <c r="O35" i="2"/>
  <c r="I23" i="2"/>
  <c r="N15" i="7"/>
  <c r="O15" i="7" s="1"/>
  <c r="O14" i="7"/>
  <c r="I41" i="7"/>
  <c r="L34" i="7" s="1"/>
  <c r="I28" i="7"/>
  <c r="L21" i="7" s="1"/>
  <c r="I24" i="7"/>
  <c r="B16" i="12" l="1"/>
  <c r="M26" i="8"/>
  <c r="L24" i="1"/>
  <c r="M24" i="1" s="1"/>
  <c r="O38" i="8"/>
  <c r="M38" i="8"/>
  <c r="L39" i="8"/>
  <c r="O22" i="3"/>
  <c r="M22" i="3"/>
  <c r="L23" i="3"/>
  <c r="L22" i="2"/>
  <c r="L23" i="2" s="1"/>
  <c r="L24" i="2" s="1"/>
  <c r="M21" i="2"/>
  <c r="I23" i="4"/>
  <c r="I24" i="4" s="1"/>
  <c r="N15" i="2"/>
  <c r="O15" i="2" s="1"/>
  <c r="O14" i="2"/>
  <c r="I27" i="4"/>
  <c r="I28" i="4" s="1"/>
  <c r="L21" i="4" s="1"/>
  <c r="N14" i="4"/>
  <c r="I24" i="2"/>
  <c r="L38" i="3"/>
  <c r="O37" i="3"/>
  <c r="M37" i="3"/>
  <c r="M34" i="4"/>
  <c r="L35" i="4"/>
  <c r="L36" i="4" s="1"/>
  <c r="M37" i="2"/>
  <c r="L38" i="2"/>
  <c r="O37" i="2"/>
  <c r="L22" i="7"/>
  <c r="M21" i="7"/>
  <c r="L35" i="7"/>
  <c r="M34" i="7"/>
  <c r="L25" i="1" l="1"/>
  <c r="M25" i="1" s="1"/>
  <c r="O39" i="8"/>
  <c r="M39" i="8"/>
  <c r="M23" i="3"/>
  <c r="O23" i="3"/>
  <c r="L24" i="3"/>
  <c r="L25" i="2"/>
  <c r="O24" i="2"/>
  <c r="M24" i="2"/>
  <c r="L37" i="4"/>
  <c r="M36" i="4"/>
  <c r="O36" i="4"/>
  <c r="L22" i="4"/>
  <c r="M21" i="4"/>
  <c r="O38" i="2"/>
  <c r="M38" i="2"/>
  <c r="N15" i="4"/>
  <c r="O15" i="4" s="1"/>
  <c r="O14" i="4"/>
  <c r="M35" i="4"/>
  <c r="O35" i="4"/>
  <c r="O23" i="2"/>
  <c r="M23" i="2"/>
  <c r="O38" i="3"/>
  <c r="M38" i="3"/>
  <c r="O22" i="2"/>
  <c r="M22" i="2"/>
  <c r="M35" i="7"/>
  <c r="O35" i="7"/>
  <c r="L36" i="7"/>
  <c r="M22" i="7"/>
  <c r="O22" i="7"/>
  <c r="L23" i="7"/>
  <c r="O24" i="3" l="1"/>
  <c r="L25" i="3"/>
  <c r="M24" i="3"/>
  <c r="M22" i="4"/>
  <c r="O22" i="4"/>
  <c r="M37" i="4"/>
  <c r="O37" i="4"/>
  <c r="L38" i="4"/>
  <c r="L23" i="4"/>
  <c r="M25" i="2"/>
  <c r="O25" i="2"/>
  <c r="M23" i="7"/>
  <c r="O23" i="7"/>
  <c r="L24" i="7"/>
  <c r="M36" i="7"/>
  <c r="O36" i="7"/>
  <c r="L37" i="7"/>
  <c r="O25" i="3" l="1"/>
  <c r="M25" i="3"/>
  <c r="M38" i="4"/>
  <c r="O38" i="4"/>
  <c r="O23" i="4"/>
  <c r="M23" i="4"/>
  <c r="L24" i="4"/>
  <c r="O37" i="7"/>
  <c r="M37" i="7"/>
  <c r="L38" i="7"/>
  <c r="L25" i="7"/>
  <c r="M24" i="7"/>
  <c r="O24" i="7"/>
  <c r="L25" i="4" l="1"/>
  <c r="M24" i="4"/>
  <c r="O24" i="4"/>
  <c r="O25" i="7"/>
  <c r="M25" i="7"/>
  <c r="O38" i="7"/>
  <c r="M38" i="7"/>
  <c r="M25" i="4" l="1"/>
  <c r="O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Probably want to use 2/3 apogee rule of thumb for Recordbreaker.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sharedStrings.xml><?xml version="1.0" encoding="utf-8"?>
<sst xmlns="http://schemas.openxmlformats.org/spreadsheetml/2006/main" count="728" uniqueCount="129">
  <si>
    <t>h (m)</t>
  </si>
  <si>
    <t>Δv (m/s)</t>
  </si>
  <si>
    <t>OF</t>
  </si>
  <si>
    <r>
      <t>P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(kPa)</t>
    </r>
  </si>
  <si>
    <r>
      <t>h</t>
    </r>
    <r>
      <rPr>
        <vertAlign val="subscript"/>
        <sz val="11"/>
        <color theme="1"/>
        <rFont val="Calibri"/>
        <family val="2"/>
        <scheme val="minor"/>
      </rPr>
      <t>launch</t>
    </r>
    <r>
      <rPr>
        <sz val="11"/>
        <color theme="1"/>
        <rFont val="Calibri"/>
        <family val="2"/>
        <scheme val="minor"/>
      </rPr>
      <t xml:space="preserve"> (m)</t>
    </r>
  </si>
  <si>
    <t>F/W</t>
  </si>
  <si>
    <r>
      <t>P</t>
    </r>
    <r>
      <rPr>
        <vertAlign val="subscript"/>
        <sz val="11"/>
        <color theme="1"/>
        <rFont val="Calibri"/>
        <family val="2"/>
        <scheme val="minor"/>
      </rPr>
      <t>a,i</t>
    </r>
    <r>
      <rPr>
        <sz val="11"/>
        <color theme="1"/>
        <rFont val="Calibri"/>
        <family val="2"/>
        <scheme val="minor"/>
      </rPr>
      <t xml:space="preserve"> (kPa)</t>
    </r>
  </si>
  <si>
    <t>This is the ambient P at launch altitude.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</si>
  <si>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</rPr>
      <t>c*</t>
    </r>
  </si>
  <si>
    <r>
      <t>P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(kPa)</t>
    </r>
  </si>
  <si>
    <t>This is ambient P at 2/3 apogee.</t>
  </si>
  <si>
    <t>λ</t>
  </si>
  <si>
    <r>
      <t>f</t>
    </r>
    <r>
      <rPr>
        <vertAlign val="subscript"/>
        <sz val="11"/>
        <color theme="1"/>
        <rFont val="Calibri"/>
        <family val="2"/>
      </rPr>
      <t>inert</t>
    </r>
    <r>
      <rPr>
        <sz val="11"/>
        <color theme="1"/>
        <rFont val="Calibri"/>
        <family val="2"/>
      </rPr>
      <t xml:space="preserve"> (DAQ)</t>
    </r>
  </si>
  <si>
    <t>γ</t>
  </si>
  <si>
    <t>E244</t>
  </si>
  <si>
    <t>MW (g/mol)</t>
  </si>
  <si>
    <t>R (J/kg*K)</t>
  </si>
  <si>
    <r>
      <t>T</t>
    </r>
    <r>
      <rPr>
        <vertAlign val="subscript"/>
        <sz val="11"/>
        <color theme="1"/>
        <rFont val="Calibri"/>
        <family val="2"/>
      </rPr>
      <t>cc</t>
    </r>
    <r>
      <rPr>
        <sz val="11"/>
        <color theme="1"/>
        <rFont val="Calibri"/>
        <family val="2"/>
      </rPr>
      <t xml:space="preserve"> = T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(K)</t>
    </r>
  </si>
  <si>
    <t>c* (m/s)</t>
  </si>
  <si>
    <t>Ox Tank P:</t>
  </si>
  <si>
    <t>(psi)</t>
  </si>
  <si>
    <t>Nozzle:</t>
  </si>
  <si>
    <t>Average</t>
  </si>
  <si>
    <t>Initial</t>
  </si>
  <si>
    <r>
      <rPr>
        <sz val="11"/>
        <color theme="1"/>
        <rFont val="Calibri"/>
        <family val="2"/>
      </rPr>
      <t>ΔP</t>
    </r>
    <r>
      <rPr>
        <vertAlign val="subscript"/>
        <sz val="11"/>
        <color theme="1"/>
        <rFont val="Calibri"/>
        <family val="2"/>
      </rPr>
      <t>inj</t>
    </r>
    <r>
      <rPr>
        <sz val="11"/>
        <color theme="1"/>
        <rFont val="Calibri"/>
        <family val="2"/>
      </rPr>
      <t xml:space="preserve"> (kPa)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</si>
  <si>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</si>
  <si>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(kPa)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</si>
  <si>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e</t>
    </r>
  </si>
  <si>
    <t>ε</t>
  </si>
  <si>
    <r>
      <t>I</t>
    </r>
    <r>
      <rPr>
        <vertAlign val="subscript"/>
        <sz val="11"/>
        <color theme="1"/>
        <rFont val="Calibri"/>
        <family val="2"/>
      </rPr>
      <t>sp</t>
    </r>
    <r>
      <rPr>
        <sz val="11"/>
        <color theme="1"/>
        <rFont val="Calibri"/>
        <family val="2"/>
      </rPr>
      <t xml:space="preserve"> (s)</t>
    </r>
  </si>
  <si>
    <r>
      <t>ΔP</t>
    </r>
    <r>
      <rPr>
        <vertAlign val="subscript"/>
        <sz val="11"/>
        <color theme="1"/>
        <rFont val="Calibri"/>
        <family val="2"/>
      </rPr>
      <t>feed</t>
    </r>
    <r>
      <rPr>
        <sz val="11"/>
        <color theme="1"/>
        <rFont val="Calibri"/>
        <family val="2"/>
      </rPr>
      <t xml:space="preserve"> (kPa)</t>
    </r>
  </si>
  <si>
    <t>Negligible because of design.</t>
  </si>
  <si>
    <r>
      <t>A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</si>
  <si>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ΔP</t>
    </r>
    <r>
      <rPr>
        <vertAlign val="subscript"/>
        <sz val="11"/>
        <color theme="1"/>
        <rFont val="Calibri"/>
        <family val="2"/>
      </rPr>
      <t>dyn</t>
    </r>
    <r>
      <rPr>
        <sz val="11"/>
        <color theme="1"/>
        <rFont val="Calibri"/>
        <family val="2"/>
      </rPr>
      <t xml:space="preserve"> (kPa)</t>
    </r>
  </si>
  <si>
    <t>I think we can neglect this one too.</t>
  </si>
  <si>
    <t>See Ch. 5 for bell nozzle design.</t>
  </si>
  <si>
    <r>
      <t>P</t>
    </r>
    <r>
      <rPr>
        <vertAlign val="subscript"/>
        <sz val="11"/>
        <color theme="1"/>
        <rFont val="Calibri"/>
        <family val="2"/>
      </rPr>
      <t>tank</t>
    </r>
    <r>
      <rPr>
        <sz val="11"/>
        <color theme="1"/>
        <rFont val="Calibri"/>
        <family val="2"/>
      </rPr>
      <t xml:space="preserve"> (kPa)</t>
    </r>
  </si>
  <si>
    <t>Propellant &amp; Flow Rates:</t>
  </si>
  <si>
    <t>Fuel Grain:</t>
  </si>
  <si>
    <r>
      <t>m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(kg)</t>
    </r>
  </si>
  <si>
    <r>
      <t>Initial Ox Flux 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·s)</t>
    </r>
  </si>
  <si>
    <t>This can be between 350-700, see blow-off marker in text. It is also entirely a design decision.</t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</si>
  <si>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(kg)</t>
    </r>
  </si>
  <si>
    <r>
      <t>Initial Port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</si>
  <si>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(cm^2)</t>
  </si>
  <si>
    <r>
      <t>m</t>
    </r>
    <r>
      <rPr>
        <vertAlign val="subscript"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 xml:space="preserve"> (kg)</t>
    </r>
  </si>
  <si>
    <t>Initial Port Diameter (m)</t>
  </si>
  <si>
    <t>(cm)</t>
  </si>
  <si>
    <r>
      <t>m</t>
    </r>
    <r>
      <rPr>
        <vertAlign val="subscript"/>
        <sz val="11"/>
        <color theme="1"/>
        <rFont val="Calibri"/>
        <family val="2"/>
        <scheme val="minor"/>
      </rPr>
      <t>fuel</t>
    </r>
    <r>
      <rPr>
        <sz val="11"/>
        <color theme="1"/>
        <rFont val="Calibri"/>
        <family val="2"/>
        <scheme val="minor"/>
      </rPr>
      <t xml:space="preserve"> (kg)</t>
    </r>
  </si>
  <si>
    <t>Port Length (m)</t>
  </si>
  <si>
    <t>Using m = 2 for the length exponent.</t>
  </si>
  <si>
    <r>
      <t>m</t>
    </r>
    <r>
      <rPr>
        <vertAlign val="subscript"/>
        <sz val="11"/>
        <color theme="1"/>
        <rFont val="Calibri"/>
        <family val="2"/>
        <scheme val="minor"/>
      </rPr>
      <t>ox</t>
    </r>
    <r>
      <rPr>
        <sz val="11"/>
        <color theme="1"/>
        <rFont val="Calibri"/>
        <family val="2"/>
        <scheme val="minor"/>
      </rPr>
      <t xml:space="preserve"> (kg)</t>
    </r>
  </si>
  <si>
    <t>Final Diameter (m)</t>
  </si>
  <si>
    <r>
      <t>f</t>
    </r>
    <r>
      <rPr>
        <vertAlign val="subscript"/>
        <sz val="11"/>
        <color theme="1"/>
        <rFont val="Calibri"/>
        <family val="2"/>
        <scheme val="minor"/>
      </rPr>
      <t>inert</t>
    </r>
  </si>
  <si>
    <t>Web Thickness, w (m)</t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</si>
  <si>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prop</t>
    </r>
    <r>
      <rPr>
        <sz val="11"/>
        <color theme="1"/>
        <rFont val="Calibri"/>
        <family val="2"/>
      </rPr>
      <t xml:space="preserve"> (kg/s)</t>
    </r>
  </si>
  <si>
    <t>I need to look over this with Thomas.</t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</si>
  <si>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fuel</t>
    </r>
    <r>
      <rPr>
        <sz val="11"/>
        <color theme="1"/>
        <rFont val="Calibri"/>
        <family val="2"/>
      </rPr>
      <t xml:space="preserve"> (kg/s)</t>
    </r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</si>
  <si>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ox</t>
    </r>
    <r>
      <rPr>
        <sz val="11"/>
        <color theme="1"/>
        <rFont val="Calibri"/>
        <family val="2"/>
      </rPr>
      <t xml:space="preserve"> (kg/s)</t>
    </r>
  </si>
  <si>
    <t>http://spase.stanford.edu/Self-Pressurizing_Propellant_Dynamics_files/Waxman%20et%20al.%20-%202010%20-%20Paraffin%20and%20Nitrous%20Oxide%20Hybrid%20Rocket%20as%20a%20Mars%20Ascent%20Vehicle%20Demonstrator.pdf</t>
  </si>
  <si>
    <t>Above is another reference design.</t>
  </si>
  <si>
    <t>This is exit P = P at 2/3 apogee.</t>
  </si>
  <si>
    <t>This is exit P = P at launch altitude.</t>
  </si>
  <si>
    <t>See Humble Ch. 5 for bell nozzle design.</t>
  </si>
  <si>
    <t>Diameter (m)</t>
  </si>
  <si>
    <t>Equation for c* assumes choked flow.</t>
  </si>
  <si>
    <r>
      <t xml:space="preserve">Eq. for </t>
    </r>
    <r>
      <rPr>
        <sz val="11"/>
        <color theme="1"/>
        <rFont val="Calibri"/>
        <family val="2"/>
      </rPr>
      <t>ε changes exit A to force choked flow.</t>
    </r>
  </si>
  <si>
    <t>(in.)</t>
  </si>
  <si>
    <t>Using m = 0 for the length exponent.</t>
  </si>
  <si>
    <t>Characteristic Post Combustor Length, L*</t>
  </si>
  <si>
    <t>Any divisions by 1 are the number of ports.</t>
  </si>
  <si>
    <t>For any mass of ox:</t>
  </si>
  <si>
    <t>This assumes 50% losses (due to drag, primarily).</t>
  </si>
  <si>
    <t>Isp</t>
  </si>
  <si>
    <r>
      <t>I can use Goal Seek on G</t>
    </r>
    <r>
      <rPr>
        <vertAlign val="subscript"/>
        <sz val="11"/>
        <color rgb="FF006100"/>
        <rFont val="Calibri"/>
        <family val="2"/>
        <scheme val="minor"/>
      </rPr>
      <t>ox</t>
    </r>
    <r>
      <rPr>
        <sz val="11"/>
        <color rgb="FF006100"/>
        <rFont val="Calibri"/>
        <family val="2"/>
        <scheme val="minor"/>
      </rPr>
      <t xml:space="preserve"> to find the G for a desired initial port diameter, length, etc.</t>
    </r>
  </si>
  <si>
    <t>For any mass of ox/fuel:</t>
  </si>
  <si>
    <t>I used Goal Seek to get the value below (searched for initial diameter = 3").</t>
  </si>
  <si>
    <t>F (N)</t>
  </si>
  <si>
    <t>This is for Spaceport America.</t>
  </si>
  <si>
    <t>Need to make this second P as 2/3 burnout altitude.</t>
  </si>
  <si>
    <t>This is optimal at 2/3 burnout.</t>
  </si>
  <si>
    <t>This is ambient P at 2/3 burnout.</t>
  </si>
  <si>
    <t>This is exit P = P at 2/3 burnout.</t>
  </si>
  <si>
    <t>Actual Nozzle Diameters (m)</t>
  </si>
  <si>
    <t>Throat</t>
  </si>
  <si>
    <t>Exit</t>
  </si>
  <si>
    <t>(from Emerson's design doc.)</t>
  </si>
  <si>
    <t># Ports</t>
  </si>
  <si>
    <r>
      <t>h</t>
    </r>
    <r>
      <rPr>
        <vertAlign val="subscript"/>
        <sz val="11"/>
        <color theme="1"/>
        <rFont val="Calibri"/>
        <family val="2"/>
        <scheme val="minor"/>
      </rPr>
      <t>burnout</t>
    </r>
    <r>
      <rPr>
        <sz val="11"/>
        <color theme="1"/>
        <rFont val="Calibri"/>
        <family val="2"/>
        <scheme val="minor"/>
      </rPr>
      <t xml:space="preserve"> (m)</t>
    </r>
  </si>
  <si>
    <t>iterations</t>
  </si>
  <si>
    <t>dt</t>
  </si>
  <si>
    <t>a_launch</t>
  </si>
  <si>
    <t>P_a</t>
  </si>
  <si>
    <t>T_a</t>
  </si>
  <si>
    <t>m_f</t>
  </si>
  <si>
    <t>m_fuel</t>
  </si>
  <si>
    <t>rho_fuel</t>
  </si>
  <si>
    <t>m_ox</t>
  </si>
  <si>
    <t>V_tank</t>
  </si>
  <si>
    <t>m_tank</t>
  </si>
  <si>
    <t>a0</t>
  </si>
  <si>
    <t>n_reg</t>
  </si>
  <si>
    <t>num_ports</t>
  </si>
  <si>
    <t>L</t>
  </si>
  <si>
    <t>w</t>
  </si>
  <si>
    <t>r_f_outer</t>
  </si>
  <si>
    <t>A_t</t>
  </si>
  <si>
    <t>A_e</t>
  </si>
  <si>
    <t>Nose Diameter D</t>
  </si>
  <si>
    <t>Cd_injector</t>
  </si>
  <si>
    <t>A_Injector</t>
  </si>
  <si>
    <r>
      <t>Δv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(m/s)</t>
    </r>
  </si>
  <si>
    <t>nozzle efficiency</t>
  </si>
  <si>
    <t>combustion efficiency</t>
  </si>
  <si>
    <t>should be 0.0889</t>
  </si>
  <si>
    <t>Length of the Rocket</t>
  </si>
  <si>
    <t>Rocket Length</t>
  </si>
  <si>
    <t>NPS</t>
  </si>
  <si>
    <r>
      <t>I</t>
    </r>
    <r>
      <rPr>
        <vertAlign val="subscript"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 (s)</t>
    </r>
  </si>
  <si>
    <t>Avg (2/3 burnout)</t>
  </si>
  <si>
    <t>C_T</t>
  </si>
  <si>
    <t>Perfect Expansion Performance: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</si>
  <si>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</si>
  <si>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t>Combustion Output (from CEA):</t>
  </si>
  <si>
    <r>
      <t>P</t>
    </r>
    <r>
      <rPr>
        <vertAlign val="sub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(kPa)</t>
    </r>
  </si>
  <si>
    <t>This is not a thermodynamic efficiency.</t>
  </si>
  <si>
    <t>This is ambient P at 2/3 burnout (perfect expansion occurs here).</t>
  </si>
  <si>
    <t>AGL</t>
  </si>
  <si>
    <t>ASL. This is worst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</si>
</sst>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9" fillId="3" borderId="0" applyNumberFormat="0" applyBorder="0" applyAlignment="0" applyProtection="0"/>
    <xf numFmtId="0" fontId="8" fillId="4" borderId="1" applyNumberFormat="0" applyFont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  <xf numFmtId="0" fontId="12" fillId="7" borderId="3" applyNumberFormat="0" applyAlignment="0" applyProtection="0"/>
    <xf numFmtId="0" fontId="16" fillId="7" borderId="2" applyNumberFormat="0" applyAlignment="0" applyProtection="0"/>
    <xf numFmtId="0" fontId="17" fillId="8" borderId="4" applyNumberFormat="0" applyAlignment="0" applyProtection="0"/>
  </cellStyleXfs>
  <cellXfs count="33">
    <xf numFmtId="0" fontId="0" fillId="0" borderId="0" xfId="0"/>
    <xf numFmtId="0" fontId="4" fillId="0" borderId="0" xfId="0" applyFont="1"/>
    <xf numFmtId="0" fontId="2" fillId="0" borderId="0" xfId="2"/>
    <xf numFmtId="0" fontId="1" fillId="2" borderId="0" xfId="1"/>
    <xf numFmtId="2" fontId="0" fillId="0" borderId="0" xfId="0" applyNumberFormat="1"/>
    <xf numFmtId="2" fontId="1" fillId="2" borderId="0" xfId="1" applyNumberFormat="1"/>
    <xf numFmtId="43" fontId="0" fillId="0" borderId="0" xfId="3" applyFont="1"/>
    <xf numFmtId="164" fontId="0" fillId="0" borderId="0" xfId="0" applyNumberFormat="1"/>
    <xf numFmtId="165" fontId="0" fillId="0" borderId="0" xfId="0" applyNumberFormat="1"/>
    <xf numFmtId="0" fontId="9" fillId="3" borderId="0" xfId="4"/>
    <xf numFmtId="0" fontId="0" fillId="4" borderId="1" xfId="5" applyFont="1"/>
    <xf numFmtId="0" fontId="0" fillId="0" borderId="0" xfId="0" applyNumberFormat="1"/>
    <xf numFmtId="2" fontId="10" fillId="5" borderId="0" xfId="6" applyNumberFormat="1"/>
    <xf numFmtId="0" fontId="11" fillId="6" borderId="2" xfId="7"/>
    <xf numFmtId="2" fontId="11" fillId="6" borderId="2" xfId="7" applyNumberFormat="1"/>
    <xf numFmtId="164" fontId="12" fillId="7" borderId="3" xfId="8" applyNumberFormat="1"/>
    <xf numFmtId="2" fontId="12" fillId="7" borderId="3" xfId="8" applyNumberFormat="1"/>
    <xf numFmtId="166" fontId="12" fillId="7" borderId="3" xfId="8" applyNumberFormat="1"/>
    <xf numFmtId="165" fontId="12" fillId="7" borderId="3" xfId="8" applyNumberFormat="1"/>
    <xf numFmtId="165" fontId="11" fillId="6" borderId="2" xfId="7" applyNumberFormat="1"/>
    <xf numFmtId="2" fontId="0" fillId="0" borderId="0" xfId="0" applyNumberFormat="1" applyFill="1" applyBorder="1"/>
    <xf numFmtId="167" fontId="0" fillId="0" borderId="0" xfId="0" applyNumberFormat="1"/>
    <xf numFmtId="0" fontId="14" fillId="0" borderId="0" xfId="0" applyFont="1"/>
    <xf numFmtId="164" fontId="11" fillId="6" borderId="2" xfId="7" applyNumberFormat="1"/>
    <xf numFmtId="164" fontId="16" fillId="7" borderId="2" xfId="9" applyNumberFormat="1"/>
    <xf numFmtId="165" fontId="17" fillId="8" borderId="4" xfId="10" applyNumberFormat="1"/>
    <xf numFmtId="0" fontId="0" fillId="0" borderId="0" xfId="0"/>
    <xf numFmtId="0" fontId="0" fillId="0" borderId="0" xfId="0" applyNumberFormat="1"/>
    <xf numFmtId="11" fontId="0" fillId="0" borderId="0" xfId="0" applyNumberFormat="1"/>
    <xf numFmtId="0" fontId="4" fillId="0" borderId="0" xfId="0" applyFont="1" applyFill="1" applyBorder="1"/>
    <xf numFmtId="0" fontId="17" fillId="8" borderId="4" xfId="10"/>
    <xf numFmtId="164" fontId="17" fillId="8" borderId="4" xfId="10" applyNumberFormat="1"/>
    <xf numFmtId="2" fontId="17" fillId="8" borderId="4" xfId="10" applyNumberFormat="1"/>
  </cellXfs>
  <cellStyles count="11">
    <cellStyle name="Bad" xfId="4" builtinId="27"/>
    <cellStyle name="Calculation" xfId="9" builtinId="22"/>
    <cellStyle name="Check Cell" xfId="10" builtinId="23"/>
    <cellStyle name="Comma" xfId="3" builtinId="3"/>
    <cellStyle name="Explanatory Text" xfId="2" builtinId="53"/>
    <cellStyle name="Good" xfId="1" builtinId="26"/>
    <cellStyle name="Input" xfId="7" builtinId="20"/>
    <cellStyle name="Neutral" xfId="6" builtinId="28"/>
    <cellStyle name="Normal" xfId="0" builtinId="0"/>
    <cellStyle name="Note" xfId="5" builtinId="10"/>
    <cellStyle name="Output" xfId="8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D2-4CFE-B6E7-C3146E38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50104"/>
        <c:axId val="360550496"/>
      </c:scatterChart>
      <c:valAx>
        <c:axId val="3605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0496"/>
        <c:crosses val="autoZero"/>
        <c:crossBetween val="midCat"/>
      </c:valAx>
      <c:valAx>
        <c:axId val="3605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78088"/>
        <c:axId val="450770640"/>
      </c:scatterChart>
      <c:valAx>
        <c:axId val="45077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0640"/>
        <c:crosses val="autoZero"/>
        <c:crossBetween val="midCat"/>
      </c:valAx>
      <c:valAx>
        <c:axId val="450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74560"/>
        <c:axId val="450771032"/>
      </c:scatterChart>
      <c:valAx>
        <c:axId val="4507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1032"/>
        <c:crosses val="autoZero"/>
        <c:crossBetween val="midCat"/>
      </c:valAx>
      <c:valAx>
        <c:axId val="4507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Low Alt'!$E$14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Low Alt'!$C$15:$C$318</c:f>
              <c:numCache>
                <c:formatCode>0.00</c:formatCode>
                <c:ptCount val="304"/>
                <c:pt idx="0">
                  <c:v>9.5064874290136565</c:v>
                </c:pt>
                <c:pt idx="1">
                  <c:v>9.4475085928906601</c:v>
                </c:pt>
                <c:pt idx="2">
                  <c:v>9.3894007708211404</c:v>
                </c:pt>
                <c:pt idx="3">
                  <c:v>9.3321439710095646</c:v>
                </c:pt>
                <c:pt idx="4">
                  <c:v>9.2757188212254587</c:v>
                </c:pt>
                <c:pt idx="5">
                  <c:v>9.2201065447076225</c:v>
                </c:pt>
                <c:pt idx="6">
                  <c:v>9.1652889371927362</c:v>
                </c:pt>
                <c:pt idx="7">
                  <c:v>9.1112483450070911</c:v>
                </c:pt>
                <c:pt idx="8">
                  <c:v>9.0579676441645276</c:v>
                </c:pt>
                <c:pt idx="9">
                  <c:v>9.0054302204163896</c:v>
                </c:pt>
                <c:pt idx="10">
                  <c:v>8.9536199502032421</c:v>
                </c:pt>
                <c:pt idx="11">
                  <c:v>8.902521182460994</c:v>
                </c:pt>
                <c:pt idx="12">
                  <c:v>8.8521187212365504</c:v>
                </c:pt>
                <c:pt idx="13">
                  <c:v>8.8023978090712589</c:v>
                </c:pt>
                <c:pt idx="14">
                  <c:v>8.7533441111126518</c:v>
                </c:pt>
                <c:pt idx="15">
                  <c:v>8.7049436999171714</c:v>
                </c:pt>
                <c:pt idx="16">
                  <c:v>8.657183040909036</c:v>
                </c:pt>
                <c:pt idx="17">
                  <c:v>8.6100489784622951</c:v>
                </c:pt>
                <c:pt idx="18">
                  <c:v>8.5635287225747501</c:v>
                </c:pt>
                <c:pt idx="19">
                  <c:v>8.5176098361045494</c:v>
                </c:pt>
                <c:pt idx="20">
                  <c:v>8.4722802225420732</c:v>
                </c:pt>
                <c:pt idx="21">
                  <c:v>8.427528114290272</c:v>
                </c:pt>
                <c:pt idx="22">
                  <c:v>8.3833420614295537</c:v>
                </c:pt>
                <c:pt idx="23">
                  <c:v>8.3397109209435314</c:v>
                </c:pt>
                <c:pt idx="24">
                  <c:v>8.2966238463835058</c:v>
                </c:pt>
                <c:pt idx="25">
                  <c:v>8.2540702779511665</c:v>
                </c:pt>
                <c:pt idx="26">
                  <c:v>8.212039932979609</c:v>
                </c:pt>
                <c:pt idx="27">
                  <c:v>8.1705227967940548</c:v>
                </c:pt>
                <c:pt idx="28">
                  <c:v>8.1295091139345761</c:v>
                </c:pt>
                <c:pt idx="29">
                  <c:v>8.0889893797243175</c:v>
                </c:pt>
                <c:pt idx="30">
                  <c:v>8.0489543321671313</c:v>
                </c:pt>
                <c:pt idx="31">
                  <c:v>8.0093949441596859</c:v>
                </c:pt>
                <c:pt idx="32">
                  <c:v>7.9703024160040208</c:v>
                </c:pt>
                <c:pt idx="33">
                  <c:v>7.9316681682067163</c:v>
                </c:pt>
                <c:pt idx="34">
                  <c:v>7.8934838345521179</c:v>
                </c:pt>
                <c:pt idx="35">
                  <c:v>7.855741255437465</c:v>
                </c:pt>
                <c:pt idx="36">
                  <c:v>7.8184324714581699</c:v>
                </c:pt>
                <c:pt idx="37">
                  <c:v>7.7815497172326209</c:v>
                </c:pt>
                <c:pt idx="38">
                  <c:v>7.7450854154557671</c:v>
                </c:pt>
                <c:pt idx="39">
                  <c:v>7.709032171171744</c:v>
                </c:pt>
                <c:pt idx="40">
                  <c:v>7.6733827662562861</c:v>
                </c:pt>
                <c:pt idx="41">
                  <c:v>7.6381301540996827</c:v>
                </c:pt>
                <c:pt idx="42">
                  <c:v>7.6032674544818919</c:v>
                </c:pt>
                <c:pt idx="43">
                  <c:v>7.5687879486319005</c:v>
                </c:pt>
                <c:pt idx="44">
                  <c:v>7.5346850744632343</c:v>
                </c:pt>
                <c:pt idx="45">
                  <c:v>7.5009524219786661</c:v>
                </c:pt>
                <c:pt idx="46">
                  <c:v>7.4675837288369022</c:v>
                </c:pt>
                <c:pt idx="47">
                  <c:v>7.4345728760745686</c:v>
                </c:pt>
                <c:pt idx="48">
                  <c:v>7.4019138839773548</c:v>
                </c:pt>
                <c:pt idx="49">
                  <c:v>7.3696009080940224</c:v>
                </c:pt>
                <c:pt idx="50">
                  <c:v>7.337628235387637</c:v>
                </c:pt>
                <c:pt idx="51">
                  <c:v>7.3059902805185173</c:v>
                </c:pt>
                <c:pt idx="52">
                  <c:v>7.2746815822535469</c:v>
                </c:pt>
                <c:pt idx="53">
                  <c:v>7.2436967999969823</c:v>
                </c:pt>
                <c:pt idx="54">
                  <c:v>7.2130307104378097</c:v>
                </c:pt>
                <c:pt idx="55">
                  <c:v>7.1826782043092638</c:v>
                </c:pt>
                <c:pt idx="56">
                  <c:v>7.152634283255888</c:v>
                </c:pt>
                <c:pt idx="57">
                  <c:v>7.122894056804201</c:v>
                </c:pt>
                <c:pt idx="58">
                  <c:v>7.0934527394329052</c:v>
                </c:pt>
                <c:pt idx="59">
                  <c:v>7.0643056477386796</c:v>
                </c:pt>
                <c:pt idx="60">
                  <c:v>7.0354481976941807</c:v>
                </c:pt>
                <c:pt idx="61">
                  <c:v>7.0068759019945093</c:v>
                </c:pt>
                <c:pt idx="62">
                  <c:v>6.9785843674889536</c:v>
                </c:pt>
                <c:pt idx="63">
                  <c:v>6.9505692926947233</c:v>
                </c:pt>
                <c:pt idx="64">
                  <c:v>6.92282646538977</c:v>
                </c:pt>
                <c:pt idx="65">
                  <c:v>6.8953517602815397</c:v>
                </c:pt>
                <c:pt idx="66">
                  <c:v>6.8681411367490091</c:v>
                </c:pt>
                <c:pt idx="67">
                  <c:v>6.8411906366553605</c:v>
                </c:pt>
                <c:pt idx="68">
                  <c:v>6.814496382228536</c:v>
                </c:pt>
                <c:pt idx="69">
                  <c:v>6.7880545740073694</c:v>
                </c:pt>
                <c:pt idx="70">
                  <c:v>6.7618614888508874</c:v>
                </c:pt>
                <c:pt idx="71">
                  <c:v>6.7359134780085173</c:v>
                </c:pt>
                <c:pt idx="72">
                  <c:v>6.7102069652488998</c:v>
                </c:pt>
                <c:pt idx="73">
                  <c:v>6.684738445045519</c:v>
                </c:pt>
                <c:pt idx="74">
                  <c:v>6.6595044808168042</c:v>
                </c:pt>
                <c:pt idx="75">
                  <c:v>6.6345017032189988</c:v>
                </c:pt>
                <c:pt idx="76">
                  <c:v>6.6097268084899845</c:v>
                </c:pt>
                <c:pt idx="77">
                  <c:v>6.5851765568420388</c:v>
                </c:pt>
                <c:pt idx="78">
                  <c:v>6.5608477709021287</c:v>
                </c:pt>
                <c:pt idx="79">
                  <c:v>6.5367373341979382</c:v>
                </c:pt>
                <c:pt idx="80">
                  <c:v>6.512842189688036</c:v>
                </c:pt>
                <c:pt idx="81">
                  <c:v>6.4891593383348853</c:v>
                </c:pt>
                <c:pt idx="82">
                  <c:v>6.4656858377188637</c:v>
                </c:pt>
                <c:pt idx="83">
                  <c:v>6.4424188006924359</c:v>
                </c:pt>
                <c:pt idx="84">
                  <c:v>6.4193553940725474</c:v>
                </c:pt>
                <c:pt idx="85">
                  <c:v>6.396492837370495</c:v>
                </c:pt>
                <c:pt idx="86">
                  <c:v>6.3738284015576285</c:v>
                </c:pt>
                <c:pt idx="87">
                  <c:v>6.3513594078659086</c:v>
                </c:pt>
                <c:pt idx="88">
                  <c:v>6.3290832266221502</c:v>
                </c:pt>
                <c:pt idx="89">
                  <c:v>6.306997276114747</c:v>
                </c:pt>
                <c:pt idx="90">
                  <c:v>6.285099021491968</c:v>
                </c:pt>
                <c:pt idx="91">
                  <c:v>6.2633859736906823</c:v>
                </c:pt>
                <c:pt idx="92">
                  <c:v>6.2418556883945522</c:v>
                </c:pt>
                <c:pt idx="93">
                  <c:v>6.2205057650207767</c:v>
                </c:pt>
                <c:pt idx="94">
                  <c:v>6.1993338457345217</c:v>
                </c:pt>
                <c:pt idx="95">
                  <c:v>6.1783376144900037</c:v>
                </c:pt>
                <c:pt idx="96">
                  <c:v>6.1575147960975025</c:v>
                </c:pt>
                <c:pt idx="97">
                  <c:v>6.1368631553155151</c:v>
                </c:pt>
                <c:pt idx="98">
                  <c:v>6.1163804959670598</c:v>
                </c:pt>
                <c:pt idx="99">
                  <c:v>6.0960646600797332</c:v>
                </c:pt>
                <c:pt idx="100">
                  <c:v>6.0759135270483391</c:v>
                </c:pt>
                <c:pt idx="101">
                  <c:v>6.0559250128197588</c:v>
                </c:pt>
                <c:pt idx="102">
                  <c:v>6.0360970690991973</c:v>
                </c:pt>
                <c:pt idx="103">
                  <c:v>6.0164276825771879</c:v>
                </c:pt>
                <c:pt idx="104">
                  <c:v>5.9969148741767029</c:v>
                </c:pt>
                <c:pt idx="105">
                  <c:v>5.9775566983198223</c:v>
                </c:pt>
                <c:pt idx="106">
                  <c:v>5.9583512422132792</c:v>
                </c:pt>
                <c:pt idx="107">
                  <c:v>5.9392966251523296</c:v>
                </c:pt>
                <c:pt idx="108">
                  <c:v>5.9203909978425626</c:v>
                </c:pt>
                <c:pt idx="109">
                  <c:v>5.901632541738798</c:v>
                </c:pt>
                <c:pt idx="110">
                  <c:v>5.8830194684008319</c:v>
                </c:pt>
                <c:pt idx="111">
                  <c:v>5.8645500188654971</c:v>
                </c:pt>
                <c:pt idx="112">
                  <c:v>5.8462224630343291</c:v>
                </c:pt>
                <c:pt idx="113">
                  <c:v>5.8280350990767866</c:v>
                </c:pt>
                <c:pt idx="114">
                  <c:v>5.809986252848085</c:v>
                </c:pt>
                <c:pt idx="115">
                  <c:v>5.7920742773217029</c:v>
                </c:pt>
                <c:pt idx="116">
                  <c:v>5.7742975520357227</c:v>
                </c:pt>
                <c:pt idx="117">
                  <c:v>5.7566544825528707</c:v>
                </c:pt>
                <c:pt idx="118">
                  <c:v>5.7391434999338014</c:v>
                </c:pt>
                <c:pt idx="119">
                  <c:v>5.7217630602231608</c:v>
                </c:pt>
                <c:pt idx="120">
                  <c:v>5.704511643948166</c:v>
                </c:pt>
                <c:pt idx="121">
                  <c:v>5.6873877556292918</c:v>
                </c:pt>
                <c:pt idx="122">
                  <c:v>5.6703899233027668</c:v>
                </c:pt>
                <c:pt idx="123">
                  <c:v>5.6535166980544922</c:v>
                </c:pt>
                <c:pt idx="124">
                  <c:v>5.6367666535650747</c:v>
                </c:pt>
                <c:pt idx="125">
                  <c:v>5.6201383856657525</c:v>
                </c:pt>
                <c:pt idx="126">
                  <c:v>5.6036305119047221</c:v>
                </c:pt>
                <c:pt idx="127">
                  <c:v>5.5872416711238371</c:v>
                </c:pt>
                <c:pt idx="128">
                  <c:v>5.5709705230450721</c:v>
                </c:pt>
                <c:pt idx="129">
                  <c:v>5.55481574786688</c:v>
                </c:pt>
                <c:pt idx="130">
                  <c:v>5.538776045869727</c:v>
                </c:pt>
                <c:pt idx="131">
                  <c:v>5.5228501370309484</c:v>
                </c:pt>
                <c:pt idx="132">
                  <c:v>5.5070367606484307</c:v>
                </c:pt>
                <c:pt idx="133">
                  <c:v>5.491334674972995</c:v>
                </c:pt>
                <c:pt idx="134">
                  <c:v>5.4757426568491301</c:v>
                </c:pt>
                <c:pt idx="135">
                  <c:v>5.4602595013640656</c:v>
                </c:pt>
                <c:pt idx="136">
                  <c:v>5.444884021504695</c:v>
                </c:pt>
                <c:pt idx="137">
                  <c:v>5.4296150478223515</c:v>
                </c:pt>
                <c:pt idx="138">
                  <c:v>5.4144514281051253</c:v>
                </c:pt>
                <c:pt idx="139">
                  <c:v>5.3993920270575382</c:v>
                </c:pt>
                <c:pt idx="140">
                  <c:v>5.3844357259874318</c:v>
                </c:pt>
                <c:pt idx="141">
                  <c:v>5.3695814224997687</c:v>
                </c:pt>
                <c:pt idx="142">
                  <c:v>5.3548280301973303</c:v>
                </c:pt>
                <c:pt idx="143">
                  <c:v>5.340174478387965</c:v>
                </c:pt>
                <c:pt idx="144">
                  <c:v>5.3256197117983186</c:v>
                </c:pt>
                <c:pt idx="145">
                  <c:v>5.31116269029385</c:v>
                </c:pt>
                <c:pt idx="146">
                  <c:v>5.2968023886050215</c:v>
                </c:pt>
                <c:pt idx="147">
                  <c:v>5.2825377960593594</c:v>
                </c:pt>
                <c:pt idx="148">
                  <c:v>5.2683679163194244</c:v>
                </c:pt>
                <c:pt idx="149">
                  <c:v>5.2542917671264062</c:v>
                </c:pt>
                <c:pt idx="150">
                  <c:v>5.2403083800492647</c:v>
                </c:pt>
                <c:pt idx="151">
                  <c:v>5.2264168002392619</c:v>
                </c:pt>
                <c:pt idx="152">
                  <c:v>5.212616086189727</c:v>
                </c:pt>
                <c:pt idx="153">
                  <c:v>5.1989053095009394</c:v>
                </c:pt>
                <c:pt idx="154">
                  <c:v>5.185283554650046</c:v>
                </c:pt>
                <c:pt idx="155">
                  <c:v>5.1717499187658165</c:v>
                </c:pt>
                <c:pt idx="156">
                  <c:v>5.1583035114081213</c:v>
                </c:pt>
                <c:pt idx="157">
                  <c:v>5.1449434543521413</c:v>
                </c:pt>
                <c:pt idx="158">
                  <c:v>5.131668881376954</c:v>
                </c:pt>
                <c:pt idx="159">
                  <c:v>5.1184789380586269</c:v>
                </c:pt>
                <c:pt idx="160">
                  <c:v>5.1053727815676284</c:v>
                </c:pt>
                <c:pt idx="161">
                  <c:v>4.6550378014325808</c:v>
                </c:pt>
                <c:pt idx="162">
                  <c:v>5.0923495804703176</c:v>
                </c:pt>
                <c:pt idx="163">
                  <c:v>5.0794085145346752</c:v>
                </c:pt>
                <c:pt idx="164">
                  <c:v>5.0665487745398972</c:v>
                </c:pt>
                <c:pt idx="165">
                  <c:v>5.0537695620899825</c:v>
                </c:pt>
                <c:pt idx="166">
                  <c:v>5.0410700894310914</c:v>
                </c:pt>
                <c:pt idx="167">
                  <c:v>5.0284495792726078</c:v>
                </c:pt>
                <c:pt idx="168">
                  <c:v>5.015907264611843</c:v>
                </c:pt>
                <c:pt idx="169">
                  <c:v>5.0034423885622887</c:v>
                </c:pt>
                <c:pt idx="170">
                  <c:v>4.9910542041852892</c:v>
                </c:pt>
                <c:pt idx="171">
                  <c:v>4.9787419743251693</c:v>
                </c:pt>
                <c:pt idx="172">
                  <c:v>4.9665049714475415</c:v>
                </c:pt>
                <c:pt idx="173">
                  <c:v>4.9543424774809433</c:v>
                </c:pt>
                <c:pt idx="174">
                  <c:v>4.9422537836615543</c:v>
                </c:pt>
                <c:pt idx="175">
                  <c:v>4.9302381903810124</c:v>
                </c:pt>
                <c:pt idx="176">
                  <c:v>4.9182950070372158</c:v>
                </c:pt>
                <c:pt idx="177">
                  <c:v>4.9064235518880635</c:v>
                </c:pt>
                <c:pt idx="178">
                  <c:v>4.8946231519080721</c:v>
                </c:pt>
                <c:pt idx="179">
                  <c:v>4.8828931426477453</c:v>
                </c:pt>
                <c:pt idx="180">
                  <c:v>4.8712328680957615</c:v>
                </c:pt>
                <c:pt idx="181">
                  <c:v>4.8596416805437155</c:v>
                </c:pt>
                <c:pt idx="182">
                  <c:v>4.8481189404536131</c:v>
                </c:pt>
                <c:pt idx="183">
                  <c:v>4.8366640163277808</c:v>
                </c:pt>
                <c:pt idx="184">
                  <c:v>4.8252762845813955</c:v>
                </c:pt>
                <c:pt idx="185">
                  <c:v>4.8139551294173275</c:v>
                </c:pt>
                <c:pt idx="186">
                  <c:v>4.8026999427034776</c:v>
                </c:pt>
                <c:pt idx="187">
                  <c:v>4.7915101238523921</c:v>
                </c:pt>
                <c:pt idx="188">
                  <c:v>4.7803850797031657</c:v>
                </c:pt>
                <c:pt idx="189">
                  <c:v>4.769324224405584</c:v>
                </c:pt>
                <c:pt idx="190">
                  <c:v>4.7583269793064016</c:v>
                </c:pt>
                <c:pt idx="191">
                  <c:v>4.7473927728378333</c:v>
                </c:pt>
                <c:pt idx="192">
                  <c:v>4.736521040408058</c:v>
                </c:pt>
                <c:pt idx="193">
                  <c:v>4.7257112242938026</c:v>
                </c:pt>
                <c:pt idx="194">
                  <c:v>4.7149627735348973</c:v>
                </c:pt>
                <c:pt idx="195">
                  <c:v>4.7042751438307944</c:v>
                </c:pt>
                <c:pt idx="196">
                  <c:v>4.6936477974389996</c:v>
                </c:pt>
                <c:pt idx="197">
                  <c:v>4.6830802030753738</c:v>
                </c:pt>
                <c:pt idx="198">
                  <c:v>4.6725718358162371</c:v>
                </c:pt>
                <c:pt idx="199">
                  <c:v>4.662122177002308</c:v>
                </c:pt>
                <c:pt idx="200">
                  <c:v>4.6517307141443442</c:v>
                </c:pt>
                <c:pt idx="201">
                  <c:v>4.6413969408305302</c:v>
                </c:pt>
                <c:pt idx="202">
                  <c:v>4.6311203566355355</c:v>
                </c:pt>
                <c:pt idx="203">
                  <c:v>4.6209004670311904</c:v>
                </c:pt>
                <c:pt idx="204">
                  <c:v>4.6107367832988295</c:v>
                </c:pt>
                <c:pt idx="205">
                  <c:v>4.6006288224431158</c:v>
                </c:pt>
                <c:pt idx="206">
                  <c:v>4.5905761071074886</c:v>
                </c:pt>
                <c:pt idx="207">
                  <c:v>4.5805781654910813</c:v>
                </c:pt>
                <c:pt idx="208">
                  <c:v>4.5706345312671122</c:v>
                </c:pt>
                <c:pt idx="209">
                  <c:v>4.560744743502755</c:v>
                </c:pt>
                <c:pt idx="210">
                  <c:v>4.5509083465803606</c:v>
                </c:pt>
                <c:pt idx="211">
                  <c:v>4.541124890120126</c:v>
                </c:pt>
                <c:pt idx="212">
                  <c:v>4.5313939289041203</c:v>
                </c:pt>
                <c:pt idx="213">
                  <c:v>4.5217150228015726</c:v>
                </c:pt>
                <c:pt idx="214">
                  <c:v>4.5120877366955616</c:v>
                </c:pt>
                <c:pt idx="215">
                  <c:v>4.5025116404108747</c:v>
                </c:pt>
                <c:pt idx="216">
                  <c:v>4.4929863086432382</c:v>
                </c:pt>
                <c:pt idx="217">
                  <c:v>4.4835113208896464</c:v>
                </c:pt>
                <c:pt idx="218">
                  <c:v>4.4740862613799761</c:v>
                </c:pt>
                <c:pt idx="219">
                  <c:v>4.4647107190097719</c:v>
                </c:pt>
                <c:pt idx="220">
                  <c:v>4.4553842872741214</c:v>
                </c:pt>
                <c:pt idx="221">
                  <c:v>4.4461065642027391</c:v>
                </c:pt>
                <c:pt idx="222">
                  <c:v>4.4368771522961028</c:v>
                </c:pt>
                <c:pt idx="223">
                  <c:v>4.4276956584626825</c:v>
                </c:pt>
                <c:pt idx="224">
                  <c:v>4.418561693957253</c:v>
                </c:pt>
                <c:pt idx="225">
                  <c:v>4.4094748743202601</c:v>
                </c:pt>
                <c:pt idx="226">
                  <c:v>4.4004348193181322</c:v>
                </c:pt>
                <c:pt idx="227">
                  <c:v>4.3914411528846857</c:v>
                </c:pt>
                <c:pt idx="228">
                  <c:v>4.3824935030634506</c:v>
                </c:pt>
                <c:pt idx="229">
                  <c:v>4.3735915019510028</c:v>
                </c:pt>
                <c:pt idx="230">
                  <c:v>4.3647347856411729</c:v>
                </c:pt>
                <c:pt idx="231">
                  <c:v>4.3559229941702808</c:v>
                </c:pt>
                <c:pt idx="232">
                  <c:v>4.3471557714631768</c:v>
                </c:pt>
                <c:pt idx="233">
                  <c:v>4.3384327652802277</c:v>
                </c:pt>
                <c:pt idx="234">
                  <c:v>4.329753627165176</c:v>
                </c:pt>
                <c:pt idx="235">
                  <c:v>4.3211180123938178</c:v>
                </c:pt>
                <c:pt idx="236">
                  <c:v>4.3125255799235678</c:v>
                </c:pt>
                <c:pt idx="237">
                  <c:v>4.3039759923438075</c:v>
                </c:pt>
                <c:pt idx="238">
                  <c:v>4.2954689158270662</c:v>
                </c:pt>
                <c:pt idx="239">
                  <c:v>4.287004020080988</c:v>
                </c:pt>
                <c:pt idx="240">
                  <c:v>4.2785809783010498</c:v>
                </c:pt>
                <c:pt idx="241">
                  <c:v>4.2701994671240993</c:v>
                </c:pt>
                <c:pt idx="242">
                  <c:v>4.2618591665825791</c:v>
                </c:pt>
                <c:pt idx="243">
                  <c:v>4.253559760059515</c:v>
                </c:pt>
                <c:pt idx="244">
                  <c:v>4.2453009342442405</c:v>
                </c:pt>
                <c:pt idx="245">
                  <c:v>4.2370823790887906</c:v>
                </c:pt>
                <c:pt idx="246">
                  <c:v>4.2289037877649944</c:v>
                </c:pt>
                <c:pt idx="247">
                  <c:v>4.2207648566222957</c:v>
                </c:pt>
                <c:pt idx="248">
                  <c:v>4.2126652851461852</c:v>
                </c:pt>
                <c:pt idx="249">
                  <c:v>4.2046047759173035</c:v>
                </c:pt>
                <c:pt idx="250">
                  <c:v>4.1965830345712112</c:v>
                </c:pt>
                <c:pt idx="251">
                  <c:v>4.18859976975875</c:v>
                </c:pt>
                <c:pt idx="252">
                  <c:v>4.1806546931070665</c:v>
                </c:pt>
                <c:pt idx="253">
                  <c:v>4.1727475191812253</c:v>
                </c:pt>
                <c:pt idx="254">
                  <c:v>4.164877965446391</c:v>
                </c:pt>
                <c:pt idx="255">
                  <c:v>4.1570457522306654</c:v>
                </c:pt>
                <c:pt idx="256">
                  <c:v>4.1492506026884231</c:v>
                </c:pt>
                <c:pt idx="257">
                  <c:v>4.1414922427642642</c:v>
                </c:pt>
                <c:pt idx="258">
                  <c:v>4.1337704011575243</c:v>
                </c:pt>
                <c:pt idx="259">
                  <c:v>4.126084809287268</c:v>
                </c:pt>
                <c:pt idx="260">
                  <c:v>4.1184352012579231</c:v>
                </c:pt>
                <c:pt idx="261">
                  <c:v>4.1108213138253236</c:v>
                </c:pt>
                <c:pt idx="262">
                  <c:v>4.1032428863633568</c:v>
                </c:pt>
                <c:pt idx="263">
                  <c:v>4.0956996608310892</c:v>
                </c:pt>
                <c:pt idx="264">
                  <c:v>4.0881913817403603</c:v>
                </c:pt>
                <c:pt idx="265">
                  <c:v>4.0807177961239347</c:v>
                </c:pt>
                <c:pt idx="266">
                  <c:v>4.0732786535040493</c:v>
                </c:pt>
                <c:pt idx="267">
                  <c:v>4.0658737058615069</c:v>
                </c:pt>
                <c:pt idx="268">
                  <c:v>4.0585027076052107</c:v>
                </c:pt>
                <c:pt idx="269">
                  <c:v>4.0511654155421128</c:v>
                </c:pt>
                <c:pt idx="270">
                  <c:v>4.0438615888476779</c:v>
                </c:pt>
                <c:pt idx="271">
                  <c:v>4.0365909890367488</c:v>
                </c:pt>
                <c:pt idx="272">
                  <c:v>4.029353379934828</c:v>
                </c:pt>
                <c:pt idx="273">
                  <c:v>4.0221485276498425</c:v>
                </c:pt>
                <c:pt idx="274">
                  <c:v>4.0149762005442646</c:v>
                </c:pt>
                <c:pt idx="275">
                  <c:v>4.0078361692076712</c:v>
                </c:pt>
                <c:pt idx="276">
                  <c:v>4.0007282064297156</c:v>
                </c:pt>
                <c:pt idx="277">
                  <c:v>3.9936520871734666</c:v>
                </c:pt>
                <c:pt idx="278">
                  <c:v>3.9866075885491705</c:v>
                </c:pt>
                <c:pt idx="279">
                  <c:v>3.9795944897883611</c:v>
                </c:pt>
                <c:pt idx="280">
                  <c:v>3.9726125722183911</c:v>
                </c:pt>
                <c:pt idx="281">
                  <c:v>3.9656616192372809</c:v>
                </c:pt>
                <c:pt idx="282">
                  <c:v>3.9587414162889609</c:v>
                </c:pt>
                <c:pt idx="283">
                  <c:v>3.951851750838876</c:v>
                </c:pt>
                <c:pt idx="284">
                  <c:v>3.9449924123499325</c:v>
                </c:pt>
                <c:pt idx="285">
                  <c:v>3.9381631922587741</c:v>
                </c:pt>
                <c:pt idx="286">
                  <c:v>3.9313638839524354</c:v>
                </c:pt>
                <c:pt idx="287">
                  <c:v>3.9245942827452933</c:v>
                </c:pt>
                <c:pt idx="288">
                  <c:v>3.9178541858563602</c:v>
                </c:pt>
                <c:pt idx="289">
                  <c:v>3.9111433923869097</c:v>
                </c:pt>
                <c:pt idx="290">
                  <c:v>3.9044617032984141</c:v>
                </c:pt>
                <c:pt idx="291">
                  <c:v>3.8978089213907654</c:v>
                </c:pt>
                <c:pt idx="292">
                  <c:v>3.8911848512808684</c:v>
                </c:pt>
                <c:pt idx="293">
                  <c:v>3.8845892993814601</c:v>
                </c:pt>
                <c:pt idx="294">
                  <c:v>3.8780220738802833</c:v>
                </c:pt>
                <c:pt idx="295">
                  <c:v>3.871482984719524</c:v>
                </c:pt>
                <c:pt idx="296">
                  <c:v>3.8649718435755553</c:v>
                </c:pt>
                <c:pt idx="297">
                  <c:v>3.8584884638389245</c:v>
                </c:pt>
                <c:pt idx="298">
                  <c:v>3.8520326605946833</c:v>
                </c:pt>
                <c:pt idx="299">
                  <c:v>3.8456042506029142</c:v>
                </c:pt>
                <c:pt idx="300">
                  <c:v>3.8392030522796143</c:v>
                </c:pt>
                <c:pt idx="301">
                  <c:v>3.8328288856777326</c:v>
                </c:pt>
                <c:pt idx="302">
                  <c:v>3.8264815724686003</c:v>
                </c:pt>
                <c:pt idx="303">
                  <c:v>3.8201609359234765</c:v>
                </c:pt>
              </c:numCache>
            </c:numRef>
          </c:xVal>
          <c:yVal>
            <c:numRef>
              <c:f>'OF4.5 - Low Alt'!$E$15:$E$318</c:f>
              <c:numCache>
                <c:formatCode>0.00</c:formatCode>
                <c:ptCount val="304"/>
                <c:pt idx="0">
                  <c:v>175.36118444446961</c:v>
                </c:pt>
                <c:pt idx="1">
                  <c:v>175.53501175060532</c:v>
                </c:pt>
                <c:pt idx="2">
                  <c:v>175.70550677553911</c:v>
                </c:pt>
                <c:pt idx="3">
                  <c:v>175.87275085318487</c:v>
                </c:pt>
                <c:pt idx="4">
                  <c:v>176.03682272614088</c:v>
                </c:pt>
                <c:pt idx="5">
                  <c:v>176.19779864807171</c:v>
                </c:pt>
                <c:pt idx="6">
                  <c:v>176.35575248126375</c:v>
                </c:pt>
                <c:pt idx="7">
                  <c:v>176.51075578961877</c:v>
                </c:pt>
                <c:pt idx="8">
                  <c:v>176.66287792733283</c:v>
                </c:pt>
                <c:pt idx="9">
                  <c:v>176.81218612349264</c:v>
                </c:pt>
                <c:pt idx="10">
                  <c:v>176.95874556280771</c:v>
                </c:pt>
                <c:pt idx="11">
                  <c:v>177.10261946268318</c:v>
                </c:pt>
                <c:pt idx="12">
                  <c:v>177.24386914682549</c:v>
                </c:pt>
                <c:pt idx="13">
                  <c:v>177.3825541155621</c:v>
                </c:pt>
                <c:pt idx="14">
                  <c:v>177.5187321130455</c:v>
                </c:pt>
                <c:pt idx="15">
                  <c:v>177.65245919150172</c:v>
                </c:pt>
                <c:pt idx="16">
                  <c:v>177.78378977267423</c:v>
                </c:pt>
                <c:pt idx="17">
                  <c:v>177.91277670660466</c:v>
                </c:pt>
                <c:pt idx="18">
                  <c:v>178.03947132788596</c:v>
                </c:pt>
                <c:pt idx="19">
                  <c:v>178.16392350951244</c:v>
                </c:pt>
                <c:pt idx="20">
                  <c:v>178.286181714446</c:v>
                </c:pt>
                <c:pt idx="21">
                  <c:v>178.40629304501272</c:v>
                </c:pt>
                <c:pt idx="22">
                  <c:v>178.52430329023377</c:v>
                </c:pt>
                <c:pt idx="23">
                  <c:v>178.64025697119141</c:v>
                </c:pt>
                <c:pt idx="24">
                  <c:v>178.75419738452572</c:v>
                </c:pt>
                <c:pt idx="25">
                  <c:v>178.8661666441507</c:v>
                </c:pt>
                <c:pt idx="26">
                  <c:v>178.97620572127352</c:v>
                </c:pt>
                <c:pt idx="27">
                  <c:v>179.08435448279948</c:v>
                </c:pt>
                <c:pt idx="28">
                  <c:v>179.19065172819558</c:v>
                </c:pt>
                <c:pt idx="29">
                  <c:v>179.2951352248862</c:v>
                </c:pt>
                <c:pt idx="30">
                  <c:v>179.39784174224818</c:v>
                </c:pt>
                <c:pt idx="31">
                  <c:v>179.49880708426988</c:v>
                </c:pt>
                <c:pt idx="32">
                  <c:v>179.59806612093479</c:v>
                </c:pt>
                <c:pt idx="33">
                  <c:v>179.69565281838777</c:v>
                </c:pt>
                <c:pt idx="34">
                  <c:v>179.79160026793923</c:v>
                </c:pt>
                <c:pt idx="35">
                  <c:v>179.88594071395787</c:v>
                </c:pt>
                <c:pt idx="36">
                  <c:v>179.97870558070318</c:v>
                </c:pt>
                <c:pt idx="37">
                  <c:v>180.06992549814299</c:v>
                </c:pt>
                <c:pt idx="38">
                  <c:v>180.15963032680153</c:v>
                </c:pt>
                <c:pt idx="39">
                  <c:v>180.24784918168018</c:v>
                </c:pt>
                <c:pt idx="40">
                  <c:v>180.3346104552904</c:v>
                </c:pt>
                <c:pt idx="41">
                  <c:v>180.41994183983823</c:v>
                </c:pt>
                <c:pt idx="42">
                  <c:v>180.5038703485958</c:v>
                </c:pt>
                <c:pt idx="43">
                  <c:v>180.58642233649417</c:v>
                </c:pt>
                <c:pt idx="44">
                  <c:v>180.66762351997232</c:v>
                </c:pt>
                <c:pt idx="45">
                  <c:v>180.74749899611047</c:v>
                </c:pt>
                <c:pt idx="46">
                  <c:v>180.82607326108072</c:v>
                </c:pt>
                <c:pt idx="47">
                  <c:v>180.90337022794117</c:v>
                </c:pt>
                <c:pt idx="48">
                  <c:v>180.97941324380182</c:v>
                </c:pt>
                <c:pt idx="49">
                  <c:v>181.05422510638721</c:v>
                </c:pt>
                <c:pt idx="50">
                  <c:v>181.12782808002135</c:v>
                </c:pt>
                <c:pt idx="51">
                  <c:v>181.20024391105716</c:v>
                </c:pt>
                <c:pt idx="52">
                  <c:v>181.27149384277422</c:v>
                </c:pt>
                <c:pt idx="53">
                  <c:v>181.34159862976472</c:v>
                </c:pt>
                <c:pt idx="54">
                  <c:v>181.41057855182888</c:v>
                </c:pt>
                <c:pt idx="55">
                  <c:v>181.47845342739944</c:v>
                </c:pt>
                <c:pt idx="56">
                  <c:v>181.54524262651282</c:v>
                </c:pt>
                <c:pt idx="57">
                  <c:v>181.61096508334555</c:v>
                </c:pt>
                <c:pt idx="58">
                  <c:v>181.67563930833265</c:v>
                </c:pt>
                <c:pt idx="59">
                  <c:v>181.73928339988419</c:v>
                </c:pt>
                <c:pt idx="60">
                  <c:v>181.80191505571514</c:v>
                </c:pt>
                <c:pt idx="61">
                  <c:v>181.86355158380397</c:v>
                </c:pt>
                <c:pt idx="62">
                  <c:v>181.92420991299355</c:v>
                </c:pt>
                <c:pt idx="63">
                  <c:v>181.98390660324844</c:v>
                </c:pt>
                <c:pt idx="64">
                  <c:v>182.04265785558096</c:v>
                </c:pt>
                <c:pt idx="65">
                  <c:v>182.10047952165854</c:v>
                </c:pt>
                <c:pt idx="66">
                  <c:v>182.15738711310516</c:v>
                </c:pt>
                <c:pt idx="67">
                  <c:v>182.21339581050648</c:v>
                </c:pt>
                <c:pt idx="68">
                  <c:v>182.26852047213131</c:v>
                </c:pt>
                <c:pt idx="69">
                  <c:v>182.32277564237876</c:v>
                </c:pt>
                <c:pt idx="70">
                  <c:v>182.37617555996158</c:v>
                </c:pt>
                <c:pt idx="71">
                  <c:v>182.4287341658347</c:v>
                </c:pt>
                <c:pt idx="72">
                  <c:v>182.48046511087918</c:v>
                </c:pt>
                <c:pt idx="73">
                  <c:v>182.53138176334903</c:v>
                </c:pt>
                <c:pt idx="74">
                  <c:v>182.58149721609084</c:v>
                </c:pt>
                <c:pt idx="75">
                  <c:v>182.63082429354276</c:v>
                </c:pt>
                <c:pt idx="76">
                  <c:v>182.67937555852208</c:v>
                </c:pt>
                <c:pt idx="77">
                  <c:v>182.72716331880753</c:v>
                </c:pt>
                <c:pt idx="78">
                  <c:v>182.77419963352494</c:v>
                </c:pt>
                <c:pt idx="79">
                  <c:v>182.82049631934123</c:v>
                </c:pt>
                <c:pt idx="80">
                  <c:v>182.86606495647584</c:v>
                </c:pt>
                <c:pt idx="81">
                  <c:v>182.91091689453293</c:v>
                </c:pt>
                <c:pt idx="82">
                  <c:v>182.95506325816339</c:v>
                </c:pt>
                <c:pt idx="83">
                  <c:v>182.99851495256056</c:v>
                </c:pt>
                <c:pt idx="84">
                  <c:v>183.04128266879584</c:v>
                </c:pt>
                <c:pt idx="85">
                  <c:v>183.08337688899985</c:v>
                </c:pt>
                <c:pt idx="86">
                  <c:v>183.1248078913944</c:v>
                </c:pt>
                <c:pt idx="87">
                  <c:v>183.16558575517936</c:v>
                </c:pt>
                <c:pt idx="88">
                  <c:v>183.20572036528068</c:v>
                </c:pt>
                <c:pt idx="89">
                  <c:v>183.24522141696295</c:v>
                </c:pt>
                <c:pt idx="90">
                  <c:v>183.28409842031152</c:v>
                </c:pt>
                <c:pt idx="91">
                  <c:v>183.32236070458856</c:v>
                </c:pt>
                <c:pt idx="92">
                  <c:v>183.36001742246685</c:v>
                </c:pt>
                <c:pt idx="93">
                  <c:v>183.3970775541456</c:v>
                </c:pt>
                <c:pt idx="94">
                  <c:v>183.43354991135169</c:v>
                </c:pt>
                <c:pt idx="95">
                  <c:v>183.46944314123047</c:v>
                </c:pt>
                <c:pt idx="96">
                  <c:v>183.50476573012983</c:v>
                </c:pt>
                <c:pt idx="97">
                  <c:v>183.53952600727979</c:v>
                </c:pt>
                <c:pt idx="98">
                  <c:v>183.57373214837276</c:v>
                </c:pt>
                <c:pt idx="99">
                  <c:v>183.6073921790456</c:v>
                </c:pt>
                <c:pt idx="100">
                  <c:v>183.64051397826861</c:v>
                </c:pt>
                <c:pt idx="101">
                  <c:v>183.67310528164239</c:v>
                </c:pt>
                <c:pt idx="102">
                  <c:v>183.70517368460736</c:v>
                </c:pt>
                <c:pt idx="103">
                  <c:v>183.73672664556651</c:v>
                </c:pt>
                <c:pt idx="104">
                  <c:v>183.76777148892677</c:v>
                </c:pt>
                <c:pt idx="105">
                  <c:v>183.79831540805858</c:v>
                </c:pt>
                <c:pt idx="106">
                  <c:v>183.8283654681783</c:v>
                </c:pt>
                <c:pt idx="107">
                  <c:v>183.85792860915538</c:v>
                </c:pt>
                <c:pt idx="108">
                  <c:v>183.88701164824536</c:v>
                </c:pt>
                <c:pt idx="109">
                  <c:v>183.91562128275294</c:v>
                </c:pt>
                <c:pt idx="110">
                  <c:v>183.94376409262546</c:v>
                </c:pt>
                <c:pt idx="111">
                  <c:v>183.97144654297981</c:v>
                </c:pt>
                <c:pt idx="112">
                  <c:v>183.99867498656477</c:v>
                </c:pt>
                <c:pt idx="113">
                  <c:v>184.0254556661601</c:v>
                </c:pt>
                <c:pt idx="114">
                  <c:v>184.05179471691494</c:v>
                </c:pt>
                <c:pt idx="115">
                  <c:v>184.0776981686268</c:v>
                </c:pt>
                <c:pt idx="116">
                  <c:v>184.10317194796343</c:v>
                </c:pt>
                <c:pt idx="117">
                  <c:v>184.12822188062842</c:v>
                </c:pt>
                <c:pt idx="118">
                  <c:v>184.15285369347291</c:v>
                </c:pt>
                <c:pt idx="119">
                  <c:v>184.17707301655497</c:v>
                </c:pt>
                <c:pt idx="120">
                  <c:v>184.2008853851473</c:v>
                </c:pt>
                <c:pt idx="121">
                  <c:v>184.22429624169607</c:v>
                </c:pt>
                <c:pt idx="122">
                  <c:v>184.24731093773104</c:v>
                </c:pt>
                <c:pt idx="123">
                  <c:v>184.26993473572921</c:v>
                </c:pt>
                <c:pt idx="124">
                  <c:v>184.29217281093247</c:v>
                </c:pt>
                <c:pt idx="125">
                  <c:v>184.31403025312218</c:v>
                </c:pt>
                <c:pt idx="126">
                  <c:v>184.33551206834949</c:v>
                </c:pt>
                <c:pt idx="127">
                  <c:v>184.35662318062501</c:v>
                </c:pt>
                <c:pt idx="128">
                  <c:v>184.37736843356711</c:v>
                </c:pt>
                <c:pt idx="129">
                  <c:v>184.39775259201159</c:v>
                </c:pt>
                <c:pt idx="130">
                  <c:v>184.41778034358222</c:v>
                </c:pt>
                <c:pt idx="131">
                  <c:v>184.43745630022474</c:v>
                </c:pt>
                <c:pt idx="132">
                  <c:v>184.45678499970396</c:v>
                </c:pt>
                <c:pt idx="133">
                  <c:v>184.47577090706608</c:v>
                </c:pt>
                <c:pt idx="134">
                  <c:v>184.49441841606662</c:v>
                </c:pt>
                <c:pt idx="135">
                  <c:v>184.51273185056496</c:v>
                </c:pt>
                <c:pt idx="136">
                  <c:v>184.53071546588606</c:v>
                </c:pt>
                <c:pt idx="137">
                  <c:v>184.54837345015142</c:v>
                </c:pt>
                <c:pt idx="138">
                  <c:v>184.56570992557855</c:v>
                </c:pt>
                <c:pt idx="139">
                  <c:v>184.58272894975107</c:v>
                </c:pt>
                <c:pt idx="140">
                  <c:v>184.59943451685939</c:v>
                </c:pt>
                <c:pt idx="141">
                  <c:v>184.61583055891293</c:v>
                </c:pt>
                <c:pt idx="142">
                  <c:v>184.63192094692539</c:v>
                </c:pt>
                <c:pt idx="143">
                  <c:v>184.64770949207252</c:v>
                </c:pt>
                <c:pt idx="144">
                  <c:v>184.66319994682414</c:v>
                </c:pt>
                <c:pt idx="145">
                  <c:v>184.67839600605024</c:v>
                </c:pt>
                <c:pt idx="146">
                  <c:v>184.69330130810312</c:v>
                </c:pt>
                <c:pt idx="147">
                  <c:v>184.70791943587449</c:v>
                </c:pt>
                <c:pt idx="148">
                  <c:v>184.72225391782942</c:v>
                </c:pt>
                <c:pt idx="149">
                  <c:v>184.73630822901774</c:v>
                </c:pt>
                <c:pt idx="150">
                  <c:v>184.75008579206215</c:v>
                </c:pt>
                <c:pt idx="151">
                  <c:v>184.76358997812579</c:v>
                </c:pt>
                <c:pt idx="152">
                  <c:v>184.77682410785764</c:v>
                </c:pt>
                <c:pt idx="153">
                  <c:v>184.7897914523177</c:v>
                </c:pt>
                <c:pt idx="154">
                  <c:v>184.80249523388204</c:v>
                </c:pt>
                <c:pt idx="155">
                  <c:v>184.8149386271279</c:v>
                </c:pt>
                <c:pt idx="156">
                  <c:v>184.82712475970024</c:v>
                </c:pt>
                <c:pt idx="157">
                  <c:v>184.83905671315893</c:v>
                </c:pt>
                <c:pt idx="158">
                  <c:v>184.85073752380833</c:v>
                </c:pt>
                <c:pt idx="159">
                  <c:v>184.86217018350882</c:v>
                </c:pt>
                <c:pt idx="160">
                  <c:v>184.87335764047137</c:v>
                </c:pt>
                <c:pt idx="161">
                  <c:v>185.14450243282522</c:v>
                </c:pt>
                <c:pt idx="162">
                  <c:v>184.88430280003448</c:v>
                </c:pt>
                <c:pt idx="163">
                  <c:v>184.89500852542577</c:v>
                </c:pt>
                <c:pt idx="164">
                  <c:v>184.90547763850643</c:v>
                </c:pt>
                <c:pt idx="165">
                  <c:v>184.91571292050114</c:v>
                </c:pt>
                <c:pt idx="166">
                  <c:v>184.92571711271131</c:v>
                </c:pt>
                <c:pt idx="167">
                  <c:v>184.93549291721499</c:v>
                </c:pt>
                <c:pt idx="168">
                  <c:v>184.94504299755087</c:v>
                </c:pt>
                <c:pt idx="169">
                  <c:v>184.95436997938916</c:v>
                </c:pt>
                <c:pt idx="170">
                  <c:v>184.9634764511876</c:v>
                </c:pt>
                <c:pt idx="171">
                  <c:v>184.97236496483501</c:v>
                </c:pt>
                <c:pt idx="172">
                  <c:v>184.98103803628072</c:v>
                </c:pt>
                <c:pt idx="173">
                  <c:v>184.98949814615196</c:v>
                </c:pt>
                <c:pt idx="174">
                  <c:v>184.99774774035771</c:v>
                </c:pt>
                <c:pt idx="175">
                  <c:v>185.00578923068122</c:v>
                </c:pt>
                <c:pt idx="176">
                  <c:v>185.01362499535992</c:v>
                </c:pt>
                <c:pt idx="177">
                  <c:v>185.02125737965386</c:v>
                </c:pt>
                <c:pt idx="178">
                  <c:v>185.02868869640272</c:v>
                </c:pt>
                <c:pt idx="179">
                  <c:v>185.03592122657167</c:v>
                </c:pt>
                <c:pt idx="180">
                  <c:v>185.04295721978599</c:v>
                </c:pt>
                <c:pt idx="181">
                  <c:v>185.0497988948558</c:v>
                </c:pt>
                <c:pt idx="182">
                  <c:v>185.05644844028922</c:v>
                </c:pt>
                <c:pt idx="183">
                  <c:v>185.06290801479688</c:v>
                </c:pt>
                <c:pt idx="184">
                  <c:v>185.06917974778474</c:v>
                </c:pt>
                <c:pt idx="185">
                  <c:v>185.07526573983895</c:v>
                </c:pt>
                <c:pt idx="186">
                  <c:v>185.08116806319978</c:v>
                </c:pt>
                <c:pt idx="187">
                  <c:v>185.08688876222715</c:v>
                </c:pt>
                <c:pt idx="188">
                  <c:v>185.0924298538568</c:v>
                </c:pt>
                <c:pt idx="189">
                  <c:v>185.09779332804777</c:v>
                </c:pt>
                <c:pt idx="190">
                  <c:v>185.10298114822075</c:v>
                </c:pt>
                <c:pt idx="191">
                  <c:v>185.10799525168869</c:v>
                </c:pt>
                <c:pt idx="192">
                  <c:v>185.11283755007844</c:v>
                </c:pt>
                <c:pt idx="193">
                  <c:v>185.11750992974498</c:v>
                </c:pt>
                <c:pt idx="194">
                  <c:v>185.12201425217688</c:v>
                </c:pt>
                <c:pt idx="195">
                  <c:v>185.12635235439498</c:v>
                </c:pt>
                <c:pt idx="196">
                  <c:v>185.1305260493429</c:v>
                </c:pt>
                <c:pt idx="197">
                  <c:v>185.13453712627023</c:v>
                </c:pt>
                <c:pt idx="198">
                  <c:v>185.13838735110849</c:v>
                </c:pt>
                <c:pt idx="199">
                  <c:v>185.1420784668405</c:v>
                </c:pt>
                <c:pt idx="200">
                  <c:v>185.14561219386181</c:v>
                </c:pt>
                <c:pt idx="201">
                  <c:v>185.14899023033641</c:v>
                </c:pt>
                <c:pt idx="202">
                  <c:v>185.15221425254526</c:v>
                </c:pt>
                <c:pt idx="203">
                  <c:v>185.15528591522832</c:v>
                </c:pt>
                <c:pt idx="204">
                  <c:v>185.1582068519206</c:v>
                </c:pt>
                <c:pt idx="205">
                  <c:v>185.16097867528148</c:v>
                </c:pt>
                <c:pt idx="206">
                  <c:v>185.16360297741844</c:v>
                </c:pt>
                <c:pt idx="207">
                  <c:v>185.16608133020458</c:v>
                </c:pt>
                <c:pt idx="208">
                  <c:v>185.16841528559047</c:v>
                </c:pt>
                <c:pt idx="209">
                  <c:v>185.17060637591024</c:v>
                </c:pt>
                <c:pt idx="210">
                  <c:v>185.1726561141819</c:v>
                </c:pt>
                <c:pt idx="211">
                  <c:v>185.17456599440266</c:v>
                </c:pt>
                <c:pt idx="212">
                  <c:v>185.17633749183844</c:v>
                </c:pt>
                <c:pt idx="213">
                  <c:v>185.17797206330852</c:v>
                </c:pt>
                <c:pt idx="214">
                  <c:v>185.17947114746482</c:v>
                </c:pt>
                <c:pt idx="215">
                  <c:v>185.18083616506627</c:v>
                </c:pt>
                <c:pt idx="216">
                  <c:v>185.18206851924822</c:v>
                </c:pt>
                <c:pt idx="217">
                  <c:v>185.18316959578723</c:v>
                </c:pt>
                <c:pt idx="218">
                  <c:v>185.18414076336083</c:v>
                </c:pt>
                <c:pt idx="219">
                  <c:v>185.18498337380302</c:v>
                </c:pt>
                <c:pt idx="220">
                  <c:v>185.18569876235489</c:v>
                </c:pt>
                <c:pt idx="221">
                  <c:v>185.18628824791125</c:v>
                </c:pt>
                <c:pt idx="222">
                  <c:v>185.18675313326244</c:v>
                </c:pt>
                <c:pt idx="223">
                  <c:v>185.18709470533227</c:v>
                </c:pt>
                <c:pt idx="224">
                  <c:v>185.18731423541169</c:v>
                </c:pt>
                <c:pt idx="225">
                  <c:v>185.18741297938845</c:v>
                </c:pt>
                <c:pt idx="226">
                  <c:v>185.18739217797244</c:v>
                </c:pt>
                <c:pt idx="227">
                  <c:v>185.18725305691763</c:v>
                </c:pt>
                <c:pt idx="228">
                  <c:v>185.18699682723977</c:v>
                </c:pt>
                <c:pt idx="229">
                  <c:v>185.18662468543062</c:v>
                </c:pt>
                <c:pt idx="230">
                  <c:v>185.18613781366807</c:v>
                </c:pt>
                <c:pt idx="231">
                  <c:v>185.18553738002333</c:v>
                </c:pt>
                <c:pt idx="232">
                  <c:v>185.18482453866397</c:v>
                </c:pt>
                <c:pt idx="233">
                  <c:v>185.1840004300538</c:v>
                </c:pt>
                <c:pt idx="234">
                  <c:v>185.1830661811492</c:v>
                </c:pt>
                <c:pt idx="235">
                  <c:v>185.18202290559233</c:v>
                </c:pt>
                <c:pt idx="236">
                  <c:v>185.18087170390069</c:v>
                </c:pt>
                <c:pt idx="237">
                  <c:v>185.1796136636541</c:v>
                </c:pt>
                <c:pt idx="238">
                  <c:v>185.17824985967783</c:v>
                </c:pt>
                <c:pt idx="239">
                  <c:v>185.17678135422321</c:v>
                </c:pt>
                <c:pt idx="240">
                  <c:v>185.17520919714494</c:v>
                </c:pt>
                <c:pt idx="241">
                  <c:v>185.17353442607541</c:v>
                </c:pt>
                <c:pt idx="242">
                  <c:v>185.17175806659645</c:v>
                </c:pt>
                <c:pt idx="243">
                  <c:v>185.16988113240774</c:v>
                </c:pt>
                <c:pt idx="244">
                  <c:v>185.16790462549289</c:v>
                </c:pt>
                <c:pt idx="245">
                  <c:v>185.16582953628242</c:v>
                </c:pt>
                <c:pt idx="246">
                  <c:v>185.16365684381435</c:v>
                </c:pt>
                <c:pt idx="247">
                  <c:v>185.16138751589193</c:v>
                </c:pt>
                <c:pt idx="248">
                  <c:v>185.15902250923895</c:v>
                </c:pt>
                <c:pt idx="249">
                  <c:v>185.15656276965237</c:v>
                </c:pt>
                <c:pt idx="250">
                  <c:v>185.15400923215256</c:v>
                </c:pt>
                <c:pt idx="251">
                  <c:v>185.15136282113104</c:v>
                </c:pt>
                <c:pt idx="252">
                  <c:v>185.14862445049602</c:v>
                </c:pt>
                <c:pt idx="253">
                  <c:v>185.14579502381517</c:v>
                </c:pt>
                <c:pt idx="254">
                  <c:v>185.14287543445658</c:v>
                </c:pt>
                <c:pt idx="255">
                  <c:v>185.13986656572698</c:v>
                </c:pt>
                <c:pt idx="256">
                  <c:v>185.13676929100825</c:v>
                </c:pt>
                <c:pt idx="257">
                  <c:v>185.13358447389129</c:v>
                </c:pt>
                <c:pt idx="258">
                  <c:v>185.13031296830806</c:v>
                </c:pt>
                <c:pt idx="259">
                  <c:v>185.12695561866116</c:v>
                </c:pt>
                <c:pt idx="260">
                  <c:v>185.12351325995203</c:v>
                </c:pt>
                <c:pt idx="261">
                  <c:v>185.11998671790616</c:v>
                </c:pt>
                <c:pt idx="262">
                  <c:v>185.11637680909737</c:v>
                </c:pt>
                <c:pt idx="263">
                  <c:v>185.1126843410691</c:v>
                </c:pt>
                <c:pt idx="264">
                  <c:v>185.10891011245468</c:v>
                </c:pt>
                <c:pt idx="265">
                  <c:v>185.10505491309527</c:v>
                </c:pt>
                <c:pt idx="266">
                  <c:v>185.10111952415576</c:v>
                </c:pt>
                <c:pt idx="267">
                  <c:v>185.09710471823956</c:v>
                </c:pt>
                <c:pt idx="268">
                  <c:v>185.09301125950074</c:v>
                </c:pt>
                <c:pt idx="269">
                  <c:v>185.0888399037552</c:v>
                </c:pt>
                <c:pt idx="270">
                  <c:v>185.08459139858945</c:v>
                </c:pt>
                <c:pt idx="271">
                  <c:v>185.08026648346839</c:v>
                </c:pt>
                <c:pt idx="272">
                  <c:v>185.07586588984086</c:v>
                </c:pt>
                <c:pt idx="273">
                  <c:v>185.07139034124373</c:v>
                </c:pt>
                <c:pt idx="274">
                  <c:v>185.06684055340463</c:v>
                </c:pt>
                <c:pt idx="275">
                  <c:v>185.06221723434282</c:v>
                </c:pt>
                <c:pt idx="276">
                  <c:v>185.0575210844687</c:v>
                </c:pt>
                <c:pt idx="277">
                  <c:v>185.05275279668166</c:v>
                </c:pt>
                <c:pt idx="278">
                  <c:v>185.04791305646646</c:v>
                </c:pt>
                <c:pt idx="279">
                  <c:v>185.04300254198847</c:v>
                </c:pt>
                <c:pt idx="280">
                  <c:v>185.03802192418684</c:v>
                </c:pt>
                <c:pt idx="281">
                  <c:v>185.03297186686706</c:v>
                </c:pt>
                <c:pt idx="282">
                  <c:v>185.02785302679129</c:v>
                </c:pt>
                <c:pt idx="283">
                  <c:v>185.02266605376806</c:v>
                </c:pt>
                <c:pt idx="284">
                  <c:v>185.01741159074004</c:v>
                </c:pt>
                <c:pt idx="285">
                  <c:v>185.01209027387122</c:v>
                </c:pt>
                <c:pt idx="286">
                  <c:v>185.00670273263171</c:v>
                </c:pt>
                <c:pt idx="287">
                  <c:v>185.0012495898826</c:v>
                </c:pt>
                <c:pt idx="288">
                  <c:v>184.99573146195831</c:v>
                </c:pt>
                <c:pt idx="289">
                  <c:v>184.9901489587487</c:v>
                </c:pt>
                <c:pt idx="290">
                  <c:v>184.98450268377931</c:v>
                </c:pt>
                <c:pt idx="291">
                  <c:v>184.97879323429083</c:v>
                </c:pt>
                <c:pt idx="292">
                  <c:v>184.97302120131707</c:v>
                </c:pt>
                <c:pt idx="293">
                  <c:v>184.96718716976213</c:v>
                </c:pt>
                <c:pt idx="294">
                  <c:v>184.96129171847625</c:v>
                </c:pt>
                <c:pt idx="295">
                  <c:v>184.95533542033053</c:v>
                </c:pt>
                <c:pt idx="296">
                  <c:v>184.9493188422905</c:v>
                </c:pt>
                <c:pt idx="297">
                  <c:v>184.94324254548897</c:v>
                </c:pt>
                <c:pt idx="298">
                  <c:v>184.93710708529744</c:v>
                </c:pt>
                <c:pt idx="299">
                  <c:v>184.93091301139657</c:v>
                </c:pt>
                <c:pt idx="300">
                  <c:v>184.92466086784597</c:v>
                </c:pt>
                <c:pt idx="301">
                  <c:v>184.91835119315232</c:v>
                </c:pt>
                <c:pt idx="302">
                  <c:v>184.91198452033706</c:v>
                </c:pt>
                <c:pt idx="303">
                  <c:v>184.90556137700321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85920"/>
        <c:axId val="357982392"/>
      </c:scatterChart>
      <c:valAx>
        <c:axId val="3579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2392"/>
        <c:crosses val="autoZero"/>
        <c:crossBetween val="midCat"/>
      </c:valAx>
      <c:valAx>
        <c:axId val="357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High Alt'!$E$14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High Alt'!$C$15:$C$318</c:f>
              <c:numCache>
                <c:formatCode>0.00</c:formatCode>
                <c:ptCount val="304"/>
                <c:pt idx="0">
                  <c:v>9.5064874290136565</c:v>
                </c:pt>
                <c:pt idx="1">
                  <c:v>9.4475085928906601</c:v>
                </c:pt>
                <c:pt idx="2">
                  <c:v>9.3894007708211404</c:v>
                </c:pt>
                <c:pt idx="3">
                  <c:v>9.3321439710095646</c:v>
                </c:pt>
                <c:pt idx="4">
                  <c:v>9.2757188212254587</c:v>
                </c:pt>
                <c:pt idx="5">
                  <c:v>9.2201065447076225</c:v>
                </c:pt>
                <c:pt idx="6">
                  <c:v>9.1652889371927362</c:v>
                </c:pt>
                <c:pt idx="7">
                  <c:v>9.1112483450070911</c:v>
                </c:pt>
                <c:pt idx="8">
                  <c:v>9.0579676441645276</c:v>
                </c:pt>
                <c:pt idx="9">
                  <c:v>9.0054302204163896</c:v>
                </c:pt>
                <c:pt idx="10">
                  <c:v>8.9536199502032421</c:v>
                </c:pt>
                <c:pt idx="11">
                  <c:v>8.902521182460994</c:v>
                </c:pt>
                <c:pt idx="12">
                  <c:v>8.8521187212365504</c:v>
                </c:pt>
                <c:pt idx="13">
                  <c:v>8.8023978090712589</c:v>
                </c:pt>
                <c:pt idx="14">
                  <c:v>8.7533441111126518</c:v>
                </c:pt>
                <c:pt idx="15">
                  <c:v>8.7049436999171714</c:v>
                </c:pt>
                <c:pt idx="16">
                  <c:v>8.657183040909036</c:v>
                </c:pt>
                <c:pt idx="17">
                  <c:v>8.6100489784622951</c:v>
                </c:pt>
                <c:pt idx="18">
                  <c:v>8.5635287225747501</c:v>
                </c:pt>
                <c:pt idx="19">
                  <c:v>8.5176098361045494</c:v>
                </c:pt>
                <c:pt idx="20">
                  <c:v>8.4722802225420732</c:v>
                </c:pt>
                <c:pt idx="21">
                  <c:v>8.427528114290272</c:v>
                </c:pt>
                <c:pt idx="22">
                  <c:v>8.3833420614295537</c:v>
                </c:pt>
                <c:pt idx="23">
                  <c:v>8.3397109209435314</c:v>
                </c:pt>
                <c:pt idx="24">
                  <c:v>8.2966238463835058</c:v>
                </c:pt>
                <c:pt idx="25">
                  <c:v>8.2540702779511665</c:v>
                </c:pt>
                <c:pt idx="26">
                  <c:v>8.212039932979609</c:v>
                </c:pt>
                <c:pt idx="27">
                  <c:v>8.1705227967940548</c:v>
                </c:pt>
                <c:pt idx="28">
                  <c:v>8.1295091139345761</c:v>
                </c:pt>
                <c:pt idx="29">
                  <c:v>8.0889893797243175</c:v>
                </c:pt>
                <c:pt idx="30">
                  <c:v>8.0489543321671313</c:v>
                </c:pt>
                <c:pt idx="31">
                  <c:v>8.0093949441596859</c:v>
                </c:pt>
                <c:pt idx="32">
                  <c:v>7.9703024160040208</c:v>
                </c:pt>
                <c:pt idx="33">
                  <c:v>7.9316681682067163</c:v>
                </c:pt>
                <c:pt idx="34">
                  <c:v>7.8934838345521179</c:v>
                </c:pt>
                <c:pt idx="35">
                  <c:v>7.855741255437465</c:v>
                </c:pt>
                <c:pt idx="36">
                  <c:v>7.8184324714581699</c:v>
                </c:pt>
                <c:pt idx="37">
                  <c:v>7.7815497172326209</c:v>
                </c:pt>
                <c:pt idx="38">
                  <c:v>7.7450854154557671</c:v>
                </c:pt>
                <c:pt idx="39">
                  <c:v>7.709032171171744</c:v>
                </c:pt>
                <c:pt idx="40">
                  <c:v>7.6733827662562861</c:v>
                </c:pt>
                <c:pt idx="41">
                  <c:v>7.6381301540996827</c:v>
                </c:pt>
                <c:pt idx="42">
                  <c:v>7.6032674544818919</c:v>
                </c:pt>
                <c:pt idx="43">
                  <c:v>7.5687879486319005</c:v>
                </c:pt>
                <c:pt idx="44">
                  <c:v>7.5346850744632343</c:v>
                </c:pt>
                <c:pt idx="45">
                  <c:v>7.5009524219786661</c:v>
                </c:pt>
                <c:pt idx="46">
                  <c:v>7.4675837288369022</c:v>
                </c:pt>
                <c:pt idx="47">
                  <c:v>7.4345728760745686</c:v>
                </c:pt>
                <c:pt idx="48">
                  <c:v>7.4019138839773548</c:v>
                </c:pt>
                <c:pt idx="49">
                  <c:v>7.3696009080940224</c:v>
                </c:pt>
                <c:pt idx="50">
                  <c:v>7.337628235387637</c:v>
                </c:pt>
                <c:pt idx="51">
                  <c:v>7.3059902805185173</c:v>
                </c:pt>
                <c:pt idx="52">
                  <c:v>7.2746815822535469</c:v>
                </c:pt>
                <c:pt idx="53">
                  <c:v>7.2436967999969823</c:v>
                </c:pt>
                <c:pt idx="54">
                  <c:v>7.2130307104378097</c:v>
                </c:pt>
                <c:pt idx="55">
                  <c:v>7.1826782043092638</c:v>
                </c:pt>
                <c:pt idx="56">
                  <c:v>7.152634283255888</c:v>
                </c:pt>
                <c:pt idx="57">
                  <c:v>7.122894056804201</c:v>
                </c:pt>
                <c:pt idx="58">
                  <c:v>7.0934527394329052</c:v>
                </c:pt>
                <c:pt idx="59">
                  <c:v>7.0643056477386796</c:v>
                </c:pt>
                <c:pt idx="60">
                  <c:v>7.0354481976941807</c:v>
                </c:pt>
                <c:pt idx="61">
                  <c:v>7.0068759019945093</c:v>
                </c:pt>
                <c:pt idx="62">
                  <c:v>6.9785843674889536</c:v>
                </c:pt>
                <c:pt idx="63">
                  <c:v>6.9505692926947233</c:v>
                </c:pt>
                <c:pt idx="64">
                  <c:v>6.92282646538977</c:v>
                </c:pt>
                <c:pt idx="65">
                  <c:v>6.8953517602815397</c:v>
                </c:pt>
                <c:pt idx="66">
                  <c:v>6.8681411367490091</c:v>
                </c:pt>
                <c:pt idx="67">
                  <c:v>6.8411906366553605</c:v>
                </c:pt>
                <c:pt idx="68">
                  <c:v>6.814496382228536</c:v>
                </c:pt>
                <c:pt idx="69">
                  <c:v>6.7880545740073694</c:v>
                </c:pt>
                <c:pt idx="70">
                  <c:v>6.7618614888508874</c:v>
                </c:pt>
                <c:pt idx="71">
                  <c:v>6.7359134780085173</c:v>
                </c:pt>
                <c:pt idx="72">
                  <c:v>6.7102069652488998</c:v>
                </c:pt>
                <c:pt idx="73">
                  <c:v>6.684738445045519</c:v>
                </c:pt>
                <c:pt idx="74">
                  <c:v>6.6595044808168042</c:v>
                </c:pt>
                <c:pt idx="75">
                  <c:v>6.6345017032189988</c:v>
                </c:pt>
                <c:pt idx="76">
                  <c:v>6.6097268084899845</c:v>
                </c:pt>
                <c:pt idx="77">
                  <c:v>6.5851765568420388</c:v>
                </c:pt>
                <c:pt idx="78">
                  <c:v>6.5608477709021287</c:v>
                </c:pt>
                <c:pt idx="79">
                  <c:v>6.5367373341979382</c:v>
                </c:pt>
                <c:pt idx="80">
                  <c:v>6.512842189688036</c:v>
                </c:pt>
                <c:pt idx="81">
                  <c:v>6.4891593383348853</c:v>
                </c:pt>
                <c:pt idx="82">
                  <c:v>6.4656858377188637</c:v>
                </c:pt>
                <c:pt idx="83">
                  <c:v>6.4424188006924359</c:v>
                </c:pt>
                <c:pt idx="84">
                  <c:v>6.4193553940725474</c:v>
                </c:pt>
                <c:pt idx="85">
                  <c:v>6.396492837370495</c:v>
                </c:pt>
                <c:pt idx="86">
                  <c:v>6.3738284015576285</c:v>
                </c:pt>
                <c:pt idx="87">
                  <c:v>6.3513594078659086</c:v>
                </c:pt>
                <c:pt idx="88">
                  <c:v>6.3290832266221502</c:v>
                </c:pt>
                <c:pt idx="89">
                  <c:v>6.306997276114747</c:v>
                </c:pt>
                <c:pt idx="90">
                  <c:v>6.285099021491968</c:v>
                </c:pt>
                <c:pt idx="91">
                  <c:v>6.2633859736906823</c:v>
                </c:pt>
                <c:pt idx="92">
                  <c:v>6.2418556883945522</c:v>
                </c:pt>
                <c:pt idx="93">
                  <c:v>6.2205057650207767</c:v>
                </c:pt>
                <c:pt idx="94">
                  <c:v>6.1993338457345217</c:v>
                </c:pt>
                <c:pt idx="95">
                  <c:v>6.1783376144900037</c:v>
                </c:pt>
                <c:pt idx="96">
                  <c:v>6.1575147960975025</c:v>
                </c:pt>
                <c:pt idx="97">
                  <c:v>6.1368631553155151</c:v>
                </c:pt>
                <c:pt idx="98">
                  <c:v>6.1163804959670598</c:v>
                </c:pt>
                <c:pt idx="99">
                  <c:v>6.0960646600797332</c:v>
                </c:pt>
                <c:pt idx="100">
                  <c:v>6.0759135270483391</c:v>
                </c:pt>
                <c:pt idx="101">
                  <c:v>6.0559250128197588</c:v>
                </c:pt>
                <c:pt idx="102">
                  <c:v>6.0360970690991973</c:v>
                </c:pt>
                <c:pt idx="103">
                  <c:v>6.0164276825771879</c:v>
                </c:pt>
                <c:pt idx="104">
                  <c:v>5.9969148741767029</c:v>
                </c:pt>
                <c:pt idx="105">
                  <c:v>5.9775566983198223</c:v>
                </c:pt>
                <c:pt idx="106">
                  <c:v>5.9583512422132792</c:v>
                </c:pt>
                <c:pt idx="107">
                  <c:v>5.9392966251523296</c:v>
                </c:pt>
                <c:pt idx="108">
                  <c:v>5.9203909978425626</c:v>
                </c:pt>
                <c:pt idx="109">
                  <c:v>5.901632541738798</c:v>
                </c:pt>
                <c:pt idx="110">
                  <c:v>5.8830194684008319</c:v>
                </c:pt>
                <c:pt idx="111">
                  <c:v>5.8645500188654971</c:v>
                </c:pt>
                <c:pt idx="112">
                  <c:v>5.8462224630343291</c:v>
                </c:pt>
                <c:pt idx="113">
                  <c:v>5.8280350990767866</c:v>
                </c:pt>
                <c:pt idx="114">
                  <c:v>5.809986252848085</c:v>
                </c:pt>
                <c:pt idx="115">
                  <c:v>5.7920742773217029</c:v>
                </c:pt>
                <c:pt idx="116">
                  <c:v>5.7742975520357227</c:v>
                </c:pt>
                <c:pt idx="117">
                  <c:v>5.7566544825528707</c:v>
                </c:pt>
                <c:pt idx="118">
                  <c:v>5.7391434999338014</c:v>
                </c:pt>
                <c:pt idx="119">
                  <c:v>5.7217630602231608</c:v>
                </c:pt>
                <c:pt idx="120">
                  <c:v>5.704511643948166</c:v>
                </c:pt>
                <c:pt idx="121">
                  <c:v>5.6873877556292918</c:v>
                </c:pt>
                <c:pt idx="122">
                  <c:v>5.6703899233027668</c:v>
                </c:pt>
                <c:pt idx="123">
                  <c:v>5.6535166980544922</c:v>
                </c:pt>
                <c:pt idx="124">
                  <c:v>5.6367666535650747</c:v>
                </c:pt>
                <c:pt idx="125">
                  <c:v>5.6201383856657525</c:v>
                </c:pt>
                <c:pt idx="126">
                  <c:v>5.6036305119047221</c:v>
                </c:pt>
                <c:pt idx="127">
                  <c:v>5.5872416711238371</c:v>
                </c:pt>
                <c:pt idx="128">
                  <c:v>5.5709705230450721</c:v>
                </c:pt>
                <c:pt idx="129">
                  <c:v>5.55481574786688</c:v>
                </c:pt>
                <c:pt idx="130">
                  <c:v>5.538776045869727</c:v>
                </c:pt>
                <c:pt idx="131">
                  <c:v>5.5228501370309484</c:v>
                </c:pt>
                <c:pt idx="132">
                  <c:v>5.5070367606484307</c:v>
                </c:pt>
                <c:pt idx="133">
                  <c:v>5.491334674972995</c:v>
                </c:pt>
                <c:pt idx="134">
                  <c:v>5.4757426568491301</c:v>
                </c:pt>
                <c:pt idx="135">
                  <c:v>5.4602595013640656</c:v>
                </c:pt>
                <c:pt idx="136">
                  <c:v>5.444884021504695</c:v>
                </c:pt>
                <c:pt idx="137">
                  <c:v>5.4296150478223515</c:v>
                </c:pt>
                <c:pt idx="138">
                  <c:v>5.4144514281051253</c:v>
                </c:pt>
                <c:pt idx="139">
                  <c:v>5.3993920270575382</c:v>
                </c:pt>
                <c:pt idx="140">
                  <c:v>5.3844357259874318</c:v>
                </c:pt>
                <c:pt idx="141">
                  <c:v>5.3695814224997687</c:v>
                </c:pt>
                <c:pt idx="142">
                  <c:v>5.3548280301973303</c:v>
                </c:pt>
                <c:pt idx="143">
                  <c:v>5.340174478387965</c:v>
                </c:pt>
                <c:pt idx="144">
                  <c:v>5.3256197117983186</c:v>
                </c:pt>
                <c:pt idx="145">
                  <c:v>5.31116269029385</c:v>
                </c:pt>
                <c:pt idx="146">
                  <c:v>5.2968023886050215</c:v>
                </c:pt>
                <c:pt idx="147">
                  <c:v>5.2825377960593594</c:v>
                </c:pt>
                <c:pt idx="148">
                  <c:v>5.2683679163194244</c:v>
                </c:pt>
                <c:pt idx="149">
                  <c:v>5.2542917671264062</c:v>
                </c:pt>
                <c:pt idx="150">
                  <c:v>5.2403083800492647</c:v>
                </c:pt>
                <c:pt idx="151">
                  <c:v>5.2264168002392619</c:v>
                </c:pt>
                <c:pt idx="152">
                  <c:v>5.212616086189727</c:v>
                </c:pt>
                <c:pt idx="153">
                  <c:v>5.1989053095009394</c:v>
                </c:pt>
                <c:pt idx="154">
                  <c:v>5.185283554650046</c:v>
                </c:pt>
                <c:pt idx="155">
                  <c:v>5.1717499187658165</c:v>
                </c:pt>
                <c:pt idx="156">
                  <c:v>5.1583035114081213</c:v>
                </c:pt>
                <c:pt idx="157">
                  <c:v>5.1449434543521413</c:v>
                </c:pt>
                <c:pt idx="158">
                  <c:v>5.131668881376954</c:v>
                </c:pt>
                <c:pt idx="159">
                  <c:v>5.1184789380586269</c:v>
                </c:pt>
                <c:pt idx="160">
                  <c:v>5.1053727815676284</c:v>
                </c:pt>
                <c:pt idx="161">
                  <c:v>4.5469663961867486</c:v>
                </c:pt>
                <c:pt idx="162">
                  <c:v>5.0923495804703176</c:v>
                </c:pt>
                <c:pt idx="163">
                  <c:v>5.0794085145346752</c:v>
                </c:pt>
                <c:pt idx="164">
                  <c:v>5.0665487745398972</c:v>
                </c:pt>
                <c:pt idx="165">
                  <c:v>5.0537695620899825</c:v>
                </c:pt>
                <c:pt idx="166">
                  <c:v>5.0410700894310914</c:v>
                </c:pt>
                <c:pt idx="167">
                  <c:v>5.0284495792726078</c:v>
                </c:pt>
                <c:pt idx="168">
                  <c:v>5.015907264611843</c:v>
                </c:pt>
                <c:pt idx="169">
                  <c:v>5.0034423885622887</c:v>
                </c:pt>
                <c:pt idx="170">
                  <c:v>4.9910542041852892</c:v>
                </c:pt>
                <c:pt idx="171">
                  <c:v>4.9787419743251693</c:v>
                </c:pt>
                <c:pt idx="172">
                  <c:v>4.9665049714475415</c:v>
                </c:pt>
                <c:pt idx="173">
                  <c:v>4.9543424774809433</c:v>
                </c:pt>
                <c:pt idx="174">
                  <c:v>4.9422537836615543</c:v>
                </c:pt>
                <c:pt idx="175">
                  <c:v>4.9302381903810124</c:v>
                </c:pt>
                <c:pt idx="176">
                  <c:v>4.9182950070372158</c:v>
                </c:pt>
                <c:pt idx="177">
                  <c:v>4.9064235518880635</c:v>
                </c:pt>
                <c:pt idx="178">
                  <c:v>4.8946231519080721</c:v>
                </c:pt>
                <c:pt idx="179">
                  <c:v>4.8828931426477453</c:v>
                </c:pt>
                <c:pt idx="180">
                  <c:v>4.8712328680957615</c:v>
                </c:pt>
                <c:pt idx="181">
                  <c:v>4.8596416805437155</c:v>
                </c:pt>
                <c:pt idx="182">
                  <c:v>4.8481189404536131</c:v>
                </c:pt>
                <c:pt idx="183">
                  <c:v>4.8366640163277808</c:v>
                </c:pt>
                <c:pt idx="184">
                  <c:v>4.8252762845813955</c:v>
                </c:pt>
                <c:pt idx="185">
                  <c:v>4.8139551294173275</c:v>
                </c:pt>
                <c:pt idx="186">
                  <c:v>4.8026999427034776</c:v>
                </c:pt>
                <c:pt idx="187">
                  <c:v>4.7915101238523921</c:v>
                </c:pt>
                <c:pt idx="188">
                  <c:v>4.7803850797031657</c:v>
                </c:pt>
                <c:pt idx="189">
                  <c:v>4.769324224405584</c:v>
                </c:pt>
                <c:pt idx="190">
                  <c:v>4.7583269793064016</c:v>
                </c:pt>
                <c:pt idx="191">
                  <c:v>4.7473927728378333</c:v>
                </c:pt>
                <c:pt idx="192">
                  <c:v>4.736521040408058</c:v>
                </c:pt>
                <c:pt idx="193">
                  <c:v>4.7257112242938026</c:v>
                </c:pt>
                <c:pt idx="194">
                  <c:v>4.7149627735348973</c:v>
                </c:pt>
                <c:pt idx="195">
                  <c:v>4.7042751438307944</c:v>
                </c:pt>
                <c:pt idx="196">
                  <c:v>4.6936477974389996</c:v>
                </c:pt>
                <c:pt idx="197">
                  <c:v>4.6830802030753738</c:v>
                </c:pt>
                <c:pt idx="198">
                  <c:v>4.6725718358162371</c:v>
                </c:pt>
                <c:pt idx="199">
                  <c:v>4.662122177002308</c:v>
                </c:pt>
                <c:pt idx="200">
                  <c:v>4.6517307141443442</c:v>
                </c:pt>
                <c:pt idx="201">
                  <c:v>4.6413969408305302</c:v>
                </c:pt>
                <c:pt idx="202">
                  <c:v>4.6311203566355355</c:v>
                </c:pt>
                <c:pt idx="203">
                  <c:v>4.6209004670311904</c:v>
                </c:pt>
                <c:pt idx="204">
                  <c:v>4.6107367832988295</c:v>
                </c:pt>
                <c:pt idx="205">
                  <c:v>4.6006288224431158</c:v>
                </c:pt>
                <c:pt idx="206">
                  <c:v>4.5905761071074886</c:v>
                </c:pt>
                <c:pt idx="207">
                  <c:v>4.5805781654910813</c:v>
                </c:pt>
                <c:pt idx="208">
                  <c:v>4.5706345312671122</c:v>
                </c:pt>
                <c:pt idx="209">
                  <c:v>4.560744743502755</c:v>
                </c:pt>
                <c:pt idx="210">
                  <c:v>4.5509083465803606</c:v>
                </c:pt>
                <c:pt idx="211">
                  <c:v>4.541124890120126</c:v>
                </c:pt>
                <c:pt idx="212">
                  <c:v>4.5313939289041203</c:v>
                </c:pt>
                <c:pt idx="213">
                  <c:v>4.5217150228015726</c:v>
                </c:pt>
                <c:pt idx="214">
                  <c:v>4.5120877366955616</c:v>
                </c:pt>
                <c:pt idx="215">
                  <c:v>4.5025116404108747</c:v>
                </c:pt>
                <c:pt idx="216">
                  <c:v>4.4929863086432382</c:v>
                </c:pt>
                <c:pt idx="217">
                  <c:v>4.4835113208896464</c:v>
                </c:pt>
                <c:pt idx="218">
                  <c:v>4.4740862613799761</c:v>
                </c:pt>
                <c:pt idx="219">
                  <c:v>4.4647107190097719</c:v>
                </c:pt>
                <c:pt idx="220">
                  <c:v>4.4553842872741214</c:v>
                </c:pt>
                <c:pt idx="221">
                  <c:v>4.4461065642027391</c:v>
                </c:pt>
                <c:pt idx="222">
                  <c:v>4.4368771522961028</c:v>
                </c:pt>
                <c:pt idx="223">
                  <c:v>4.4276956584626825</c:v>
                </c:pt>
                <c:pt idx="224">
                  <c:v>4.418561693957253</c:v>
                </c:pt>
                <c:pt idx="225">
                  <c:v>4.4094748743202601</c:v>
                </c:pt>
                <c:pt idx="226">
                  <c:v>4.4004348193181322</c:v>
                </c:pt>
                <c:pt idx="227">
                  <c:v>4.3914411528846857</c:v>
                </c:pt>
                <c:pt idx="228">
                  <c:v>4.3824935030634506</c:v>
                </c:pt>
                <c:pt idx="229">
                  <c:v>4.3735915019510028</c:v>
                </c:pt>
                <c:pt idx="230">
                  <c:v>4.3647347856411729</c:v>
                </c:pt>
                <c:pt idx="231">
                  <c:v>4.3559229941702808</c:v>
                </c:pt>
                <c:pt idx="232">
                  <c:v>4.3471557714631768</c:v>
                </c:pt>
                <c:pt idx="233">
                  <c:v>4.3384327652802277</c:v>
                </c:pt>
                <c:pt idx="234">
                  <c:v>4.329753627165176</c:v>
                </c:pt>
                <c:pt idx="235">
                  <c:v>4.3211180123938178</c:v>
                </c:pt>
                <c:pt idx="236">
                  <c:v>4.3125255799235678</c:v>
                </c:pt>
                <c:pt idx="237">
                  <c:v>4.3039759923438075</c:v>
                </c:pt>
                <c:pt idx="238">
                  <c:v>4.2954689158270662</c:v>
                </c:pt>
                <c:pt idx="239">
                  <c:v>4.287004020080988</c:v>
                </c:pt>
                <c:pt idx="240">
                  <c:v>4.2785809783010498</c:v>
                </c:pt>
                <c:pt idx="241">
                  <c:v>4.2701994671240993</c:v>
                </c:pt>
                <c:pt idx="242">
                  <c:v>4.2618591665825791</c:v>
                </c:pt>
                <c:pt idx="243">
                  <c:v>4.253559760059515</c:v>
                </c:pt>
                <c:pt idx="244">
                  <c:v>4.2453009342442405</c:v>
                </c:pt>
                <c:pt idx="245">
                  <c:v>4.2370823790887906</c:v>
                </c:pt>
                <c:pt idx="246">
                  <c:v>4.2289037877649944</c:v>
                </c:pt>
                <c:pt idx="247">
                  <c:v>4.2207648566222957</c:v>
                </c:pt>
                <c:pt idx="248">
                  <c:v>4.2126652851461852</c:v>
                </c:pt>
                <c:pt idx="249">
                  <c:v>4.2046047759173035</c:v>
                </c:pt>
                <c:pt idx="250">
                  <c:v>4.1965830345712112</c:v>
                </c:pt>
                <c:pt idx="251">
                  <c:v>4.18859976975875</c:v>
                </c:pt>
                <c:pt idx="252">
                  <c:v>4.1806546931070665</c:v>
                </c:pt>
                <c:pt idx="253">
                  <c:v>4.1727475191812253</c:v>
                </c:pt>
                <c:pt idx="254">
                  <c:v>4.164877965446391</c:v>
                </c:pt>
                <c:pt idx="255">
                  <c:v>4.1570457522306654</c:v>
                </c:pt>
                <c:pt idx="256">
                  <c:v>4.1492506026884231</c:v>
                </c:pt>
                <c:pt idx="257">
                  <c:v>4.1414922427642642</c:v>
                </c:pt>
                <c:pt idx="258">
                  <c:v>4.1337704011575243</c:v>
                </c:pt>
                <c:pt idx="259">
                  <c:v>4.126084809287268</c:v>
                </c:pt>
                <c:pt idx="260">
                  <c:v>4.1184352012579231</c:v>
                </c:pt>
                <c:pt idx="261">
                  <c:v>4.1108213138253236</c:v>
                </c:pt>
                <c:pt idx="262">
                  <c:v>4.1032428863633568</c:v>
                </c:pt>
                <c:pt idx="263">
                  <c:v>4.0956996608310892</c:v>
                </c:pt>
                <c:pt idx="264">
                  <c:v>4.0881913817403603</c:v>
                </c:pt>
                <c:pt idx="265">
                  <c:v>4.0807177961239347</c:v>
                </c:pt>
                <c:pt idx="266">
                  <c:v>4.0732786535040493</c:v>
                </c:pt>
                <c:pt idx="267">
                  <c:v>4.0658737058615069</c:v>
                </c:pt>
                <c:pt idx="268">
                  <c:v>4.0585027076052107</c:v>
                </c:pt>
                <c:pt idx="269">
                  <c:v>4.0511654155421128</c:v>
                </c:pt>
                <c:pt idx="270">
                  <c:v>4.0438615888476779</c:v>
                </c:pt>
                <c:pt idx="271">
                  <c:v>4.0365909890367488</c:v>
                </c:pt>
                <c:pt idx="272">
                  <c:v>4.029353379934828</c:v>
                </c:pt>
                <c:pt idx="273">
                  <c:v>4.0221485276498425</c:v>
                </c:pt>
                <c:pt idx="274">
                  <c:v>4.0149762005442646</c:v>
                </c:pt>
                <c:pt idx="275">
                  <c:v>4.0078361692076712</c:v>
                </c:pt>
                <c:pt idx="276">
                  <c:v>4.0007282064297156</c:v>
                </c:pt>
                <c:pt idx="277">
                  <c:v>3.9936520871734666</c:v>
                </c:pt>
                <c:pt idx="278">
                  <c:v>3.9866075885491705</c:v>
                </c:pt>
                <c:pt idx="279">
                  <c:v>3.9795944897883611</c:v>
                </c:pt>
                <c:pt idx="280">
                  <c:v>3.9726125722183911</c:v>
                </c:pt>
                <c:pt idx="281">
                  <c:v>3.9656616192372809</c:v>
                </c:pt>
                <c:pt idx="282">
                  <c:v>3.9587414162889609</c:v>
                </c:pt>
                <c:pt idx="283">
                  <c:v>3.951851750838876</c:v>
                </c:pt>
                <c:pt idx="284">
                  <c:v>3.9449924123499325</c:v>
                </c:pt>
                <c:pt idx="285">
                  <c:v>3.9381631922587741</c:v>
                </c:pt>
                <c:pt idx="286">
                  <c:v>3.9313638839524354</c:v>
                </c:pt>
                <c:pt idx="287">
                  <c:v>3.9245942827452933</c:v>
                </c:pt>
                <c:pt idx="288">
                  <c:v>3.9178541858563602</c:v>
                </c:pt>
                <c:pt idx="289">
                  <c:v>3.9111433923869097</c:v>
                </c:pt>
                <c:pt idx="290">
                  <c:v>3.9044617032984141</c:v>
                </c:pt>
                <c:pt idx="291">
                  <c:v>3.8978089213907654</c:v>
                </c:pt>
                <c:pt idx="292">
                  <c:v>3.8911848512808684</c:v>
                </c:pt>
                <c:pt idx="293">
                  <c:v>3.8845892993814601</c:v>
                </c:pt>
                <c:pt idx="294">
                  <c:v>3.8780220738802833</c:v>
                </c:pt>
                <c:pt idx="295">
                  <c:v>3.871482984719524</c:v>
                </c:pt>
                <c:pt idx="296">
                  <c:v>3.8649718435755553</c:v>
                </c:pt>
                <c:pt idx="297">
                  <c:v>3.8584884638389245</c:v>
                </c:pt>
                <c:pt idx="298">
                  <c:v>3.8520326605946833</c:v>
                </c:pt>
                <c:pt idx="299">
                  <c:v>3.8456042506029142</c:v>
                </c:pt>
                <c:pt idx="300">
                  <c:v>3.8392030522796143</c:v>
                </c:pt>
                <c:pt idx="301">
                  <c:v>3.8328288856777326</c:v>
                </c:pt>
                <c:pt idx="302">
                  <c:v>3.8264815724686003</c:v>
                </c:pt>
                <c:pt idx="303">
                  <c:v>3.8201609359234765</c:v>
                </c:pt>
              </c:numCache>
            </c:numRef>
          </c:xVal>
          <c:yVal>
            <c:numRef>
              <c:f>'OF4.5 - High Alt'!$E$15:$E$318</c:f>
              <c:numCache>
                <c:formatCode>0.00</c:formatCode>
                <c:ptCount val="304"/>
                <c:pt idx="0">
                  <c:v>175.36118444446964</c:v>
                </c:pt>
                <c:pt idx="1">
                  <c:v>175.53501175060535</c:v>
                </c:pt>
                <c:pt idx="2">
                  <c:v>175.70550677553913</c:v>
                </c:pt>
                <c:pt idx="3">
                  <c:v>175.8727508531849</c:v>
                </c:pt>
                <c:pt idx="4">
                  <c:v>176.03682272614094</c:v>
                </c:pt>
                <c:pt idx="5">
                  <c:v>176.19779864807174</c:v>
                </c:pt>
                <c:pt idx="6">
                  <c:v>176.35575248126381</c:v>
                </c:pt>
                <c:pt idx="7">
                  <c:v>176.5107557896188</c:v>
                </c:pt>
                <c:pt idx="8">
                  <c:v>176.66287792733289</c:v>
                </c:pt>
                <c:pt idx="9">
                  <c:v>176.81218612349269</c:v>
                </c:pt>
                <c:pt idx="10">
                  <c:v>176.95874556280774</c:v>
                </c:pt>
                <c:pt idx="11">
                  <c:v>177.10261946268324</c:v>
                </c:pt>
                <c:pt idx="12">
                  <c:v>177.24386914682552</c:v>
                </c:pt>
                <c:pt idx="13">
                  <c:v>177.38255411556213</c:v>
                </c:pt>
                <c:pt idx="14">
                  <c:v>177.51873211304553</c:v>
                </c:pt>
                <c:pt idx="15">
                  <c:v>177.65245919150175</c:v>
                </c:pt>
                <c:pt idx="16">
                  <c:v>177.78378977267425</c:v>
                </c:pt>
                <c:pt idx="17">
                  <c:v>177.91277670660472</c:v>
                </c:pt>
                <c:pt idx="18">
                  <c:v>178.03947132788602</c:v>
                </c:pt>
                <c:pt idx="19">
                  <c:v>178.1639235095125</c:v>
                </c:pt>
                <c:pt idx="20">
                  <c:v>178.28618171444603</c:v>
                </c:pt>
                <c:pt idx="21">
                  <c:v>178.40629304501275</c:v>
                </c:pt>
                <c:pt idx="22">
                  <c:v>178.5243032902338</c:v>
                </c:pt>
                <c:pt idx="23">
                  <c:v>178.64025697119143</c:v>
                </c:pt>
                <c:pt idx="24">
                  <c:v>178.75419738452578</c:v>
                </c:pt>
                <c:pt idx="25">
                  <c:v>178.86616664415075</c:v>
                </c:pt>
                <c:pt idx="26">
                  <c:v>178.97620572127354</c:v>
                </c:pt>
                <c:pt idx="27">
                  <c:v>179.08435448279951</c:v>
                </c:pt>
                <c:pt idx="28">
                  <c:v>179.19065172819563</c:v>
                </c:pt>
                <c:pt idx="29">
                  <c:v>179.29513522488622</c:v>
                </c:pt>
                <c:pt idx="30">
                  <c:v>179.39784174224823</c:v>
                </c:pt>
                <c:pt idx="31">
                  <c:v>179.49880708426994</c:v>
                </c:pt>
                <c:pt idx="32">
                  <c:v>179.59806612093485</c:v>
                </c:pt>
                <c:pt idx="33">
                  <c:v>179.6956528183878</c:v>
                </c:pt>
                <c:pt idx="34">
                  <c:v>179.79160026793926</c:v>
                </c:pt>
                <c:pt idx="35">
                  <c:v>179.88594071395789</c:v>
                </c:pt>
                <c:pt idx="36">
                  <c:v>179.97870558070321</c:v>
                </c:pt>
                <c:pt idx="37">
                  <c:v>180.06992549814305</c:v>
                </c:pt>
                <c:pt idx="38">
                  <c:v>180.15963032680156</c:v>
                </c:pt>
                <c:pt idx="39">
                  <c:v>180.24784918168021</c:v>
                </c:pt>
                <c:pt idx="40">
                  <c:v>180.33461045529043</c:v>
                </c:pt>
                <c:pt idx="41">
                  <c:v>180.41994183983829</c:v>
                </c:pt>
                <c:pt idx="42">
                  <c:v>180.50387034859583</c:v>
                </c:pt>
                <c:pt idx="43">
                  <c:v>180.58642233649422</c:v>
                </c:pt>
                <c:pt idx="44">
                  <c:v>180.66762351997235</c:v>
                </c:pt>
                <c:pt idx="45">
                  <c:v>180.74749899611049</c:v>
                </c:pt>
                <c:pt idx="46">
                  <c:v>180.82607326108075</c:v>
                </c:pt>
                <c:pt idx="47">
                  <c:v>180.9033702279412</c:v>
                </c:pt>
                <c:pt idx="48">
                  <c:v>180.97941324380184</c:v>
                </c:pt>
                <c:pt idx="49">
                  <c:v>181.05422510638726</c:v>
                </c:pt>
                <c:pt idx="50">
                  <c:v>181.12782808002137</c:v>
                </c:pt>
                <c:pt idx="51">
                  <c:v>181.20024391105721</c:v>
                </c:pt>
                <c:pt idx="52">
                  <c:v>181.27149384277428</c:v>
                </c:pt>
                <c:pt idx="53">
                  <c:v>181.34159862976475</c:v>
                </c:pt>
                <c:pt idx="54">
                  <c:v>181.41057855182891</c:v>
                </c:pt>
                <c:pt idx="55">
                  <c:v>181.4784534273995</c:v>
                </c:pt>
                <c:pt idx="56">
                  <c:v>181.54524262651285</c:v>
                </c:pt>
                <c:pt idx="57">
                  <c:v>181.6109650833456</c:v>
                </c:pt>
                <c:pt idx="58">
                  <c:v>181.67563930833271</c:v>
                </c:pt>
                <c:pt idx="59">
                  <c:v>181.73928339988424</c:v>
                </c:pt>
                <c:pt idx="60">
                  <c:v>181.80191505571517</c:v>
                </c:pt>
                <c:pt idx="61">
                  <c:v>181.86355158380402</c:v>
                </c:pt>
                <c:pt idx="62">
                  <c:v>181.92420991299358</c:v>
                </c:pt>
                <c:pt idx="63">
                  <c:v>181.9839066032485</c:v>
                </c:pt>
                <c:pt idx="64">
                  <c:v>182.04265785558098</c:v>
                </c:pt>
                <c:pt idx="65">
                  <c:v>182.1004795216586</c:v>
                </c:pt>
                <c:pt idx="66">
                  <c:v>182.15738711310522</c:v>
                </c:pt>
                <c:pt idx="67">
                  <c:v>182.21339581050651</c:v>
                </c:pt>
                <c:pt idx="68">
                  <c:v>182.26852047213134</c:v>
                </c:pt>
                <c:pt idx="69">
                  <c:v>182.32277564237879</c:v>
                </c:pt>
                <c:pt idx="70">
                  <c:v>182.37617555996164</c:v>
                </c:pt>
                <c:pt idx="71">
                  <c:v>182.42873416583473</c:v>
                </c:pt>
                <c:pt idx="72">
                  <c:v>182.48046511087921</c:v>
                </c:pt>
                <c:pt idx="73">
                  <c:v>182.53138176334906</c:v>
                </c:pt>
                <c:pt idx="74">
                  <c:v>182.58149721609087</c:v>
                </c:pt>
                <c:pt idx="75">
                  <c:v>182.63082429354279</c:v>
                </c:pt>
                <c:pt idx="76">
                  <c:v>182.67937555852211</c:v>
                </c:pt>
                <c:pt idx="77">
                  <c:v>182.72716331880756</c:v>
                </c:pt>
                <c:pt idx="78">
                  <c:v>182.77419963352497</c:v>
                </c:pt>
                <c:pt idx="79">
                  <c:v>182.82049631934129</c:v>
                </c:pt>
                <c:pt idx="80">
                  <c:v>182.86606495647587</c:v>
                </c:pt>
                <c:pt idx="81">
                  <c:v>182.91091689453296</c:v>
                </c:pt>
                <c:pt idx="82">
                  <c:v>182.95506325816345</c:v>
                </c:pt>
                <c:pt idx="83">
                  <c:v>182.99851495256061</c:v>
                </c:pt>
                <c:pt idx="84">
                  <c:v>183.04128266879587</c:v>
                </c:pt>
                <c:pt idx="85">
                  <c:v>183.08337688899988</c:v>
                </c:pt>
                <c:pt idx="86">
                  <c:v>183.12480789139443</c:v>
                </c:pt>
                <c:pt idx="87">
                  <c:v>183.16558575517939</c:v>
                </c:pt>
                <c:pt idx="88">
                  <c:v>183.20572036528071</c:v>
                </c:pt>
                <c:pt idx="89">
                  <c:v>183.24522141696301</c:v>
                </c:pt>
                <c:pt idx="90">
                  <c:v>183.28409842031155</c:v>
                </c:pt>
                <c:pt idx="91">
                  <c:v>183.32236070458862</c:v>
                </c:pt>
                <c:pt idx="92">
                  <c:v>183.36001742246691</c:v>
                </c:pt>
                <c:pt idx="93">
                  <c:v>183.39707755414565</c:v>
                </c:pt>
                <c:pt idx="94">
                  <c:v>183.43354991135175</c:v>
                </c:pt>
                <c:pt idx="95">
                  <c:v>183.46944314123053</c:v>
                </c:pt>
                <c:pt idx="96">
                  <c:v>183.50476573012986</c:v>
                </c:pt>
                <c:pt idx="97">
                  <c:v>183.53952600727982</c:v>
                </c:pt>
                <c:pt idx="98">
                  <c:v>183.57373214837281</c:v>
                </c:pt>
                <c:pt idx="99">
                  <c:v>183.60739217904566</c:v>
                </c:pt>
                <c:pt idx="100">
                  <c:v>183.64051397826864</c:v>
                </c:pt>
                <c:pt idx="101">
                  <c:v>183.67310528164242</c:v>
                </c:pt>
                <c:pt idx="102">
                  <c:v>183.70517368460739</c:v>
                </c:pt>
                <c:pt idx="103">
                  <c:v>183.73672664556653</c:v>
                </c:pt>
                <c:pt idx="104">
                  <c:v>183.76777148892683</c:v>
                </c:pt>
                <c:pt idx="105">
                  <c:v>183.79831540805861</c:v>
                </c:pt>
                <c:pt idx="106">
                  <c:v>183.82836546817833</c:v>
                </c:pt>
                <c:pt idx="107">
                  <c:v>183.85792860915544</c:v>
                </c:pt>
                <c:pt idx="108">
                  <c:v>183.88701164824539</c:v>
                </c:pt>
                <c:pt idx="109">
                  <c:v>183.91562128275299</c:v>
                </c:pt>
                <c:pt idx="110">
                  <c:v>183.94376409262551</c:v>
                </c:pt>
                <c:pt idx="111">
                  <c:v>183.97144654297986</c:v>
                </c:pt>
                <c:pt idx="112">
                  <c:v>183.99867498656479</c:v>
                </c:pt>
                <c:pt idx="113">
                  <c:v>184.02545566616013</c:v>
                </c:pt>
                <c:pt idx="114">
                  <c:v>184.051794716915</c:v>
                </c:pt>
                <c:pt idx="115">
                  <c:v>184.07769816862685</c:v>
                </c:pt>
                <c:pt idx="116">
                  <c:v>184.10317194796349</c:v>
                </c:pt>
                <c:pt idx="117">
                  <c:v>184.12822188062844</c:v>
                </c:pt>
                <c:pt idx="118">
                  <c:v>184.15285369347296</c:v>
                </c:pt>
                <c:pt idx="119">
                  <c:v>184.177073016555</c:v>
                </c:pt>
                <c:pt idx="120">
                  <c:v>184.20088538514733</c:v>
                </c:pt>
                <c:pt idx="121">
                  <c:v>184.22429624169609</c:v>
                </c:pt>
                <c:pt idx="122">
                  <c:v>184.24731093773107</c:v>
                </c:pt>
                <c:pt idx="123">
                  <c:v>184.26993473572924</c:v>
                </c:pt>
                <c:pt idx="124">
                  <c:v>184.29217281093253</c:v>
                </c:pt>
                <c:pt idx="125">
                  <c:v>184.31403025312221</c:v>
                </c:pt>
                <c:pt idx="126">
                  <c:v>184.33551206834954</c:v>
                </c:pt>
                <c:pt idx="127">
                  <c:v>184.35662318062504</c:v>
                </c:pt>
                <c:pt idx="128">
                  <c:v>184.37736843356714</c:v>
                </c:pt>
                <c:pt idx="129">
                  <c:v>184.39775259201164</c:v>
                </c:pt>
                <c:pt idx="130">
                  <c:v>184.41778034358225</c:v>
                </c:pt>
                <c:pt idx="131">
                  <c:v>184.43745630022477</c:v>
                </c:pt>
                <c:pt idx="132">
                  <c:v>184.45678499970398</c:v>
                </c:pt>
                <c:pt idx="133">
                  <c:v>184.47577090706613</c:v>
                </c:pt>
                <c:pt idx="134">
                  <c:v>184.49441841606668</c:v>
                </c:pt>
                <c:pt idx="135">
                  <c:v>184.51273185056499</c:v>
                </c:pt>
                <c:pt idx="136">
                  <c:v>184.53071546588609</c:v>
                </c:pt>
                <c:pt idx="137">
                  <c:v>184.54837345015144</c:v>
                </c:pt>
                <c:pt idx="138">
                  <c:v>184.56570992557857</c:v>
                </c:pt>
                <c:pt idx="139">
                  <c:v>184.58272894975113</c:v>
                </c:pt>
                <c:pt idx="140">
                  <c:v>184.59943451685945</c:v>
                </c:pt>
                <c:pt idx="141">
                  <c:v>184.61583055891296</c:v>
                </c:pt>
                <c:pt idx="142">
                  <c:v>184.63192094692545</c:v>
                </c:pt>
                <c:pt idx="143">
                  <c:v>184.64770949207255</c:v>
                </c:pt>
                <c:pt idx="144">
                  <c:v>184.66319994682416</c:v>
                </c:pt>
                <c:pt idx="145">
                  <c:v>184.67839600605026</c:v>
                </c:pt>
                <c:pt idx="146">
                  <c:v>184.69330130810314</c:v>
                </c:pt>
                <c:pt idx="147">
                  <c:v>184.70791943587452</c:v>
                </c:pt>
                <c:pt idx="148">
                  <c:v>184.72225391782948</c:v>
                </c:pt>
                <c:pt idx="149">
                  <c:v>184.73630822901777</c:v>
                </c:pt>
                <c:pt idx="150">
                  <c:v>184.75008579206221</c:v>
                </c:pt>
                <c:pt idx="151">
                  <c:v>184.76358997812582</c:v>
                </c:pt>
                <c:pt idx="152">
                  <c:v>184.77682410785766</c:v>
                </c:pt>
                <c:pt idx="153">
                  <c:v>184.78979145231776</c:v>
                </c:pt>
                <c:pt idx="154">
                  <c:v>184.80249523388207</c:v>
                </c:pt>
                <c:pt idx="155">
                  <c:v>184.81493862712793</c:v>
                </c:pt>
                <c:pt idx="156">
                  <c:v>184.82712475970027</c:v>
                </c:pt>
                <c:pt idx="157">
                  <c:v>184.83905671315895</c:v>
                </c:pt>
                <c:pt idx="158">
                  <c:v>184.85073752380836</c:v>
                </c:pt>
                <c:pt idx="159">
                  <c:v>184.86217018350885</c:v>
                </c:pt>
                <c:pt idx="160">
                  <c:v>184.8733576404714</c:v>
                </c:pt>
                <c:pt idx="161">
                  <c:v>185.17344113661392</c:v>
                </c:pt>
                <c:pt idx="162">
                  <c:v>184.8843028000345</c:v>
                </c:pt>
                <c:pt idx="163">
                  <c:v>184.89500852542582</c:v>
                </c:pt>
                <c:pt idx="164">
                  <c:v>184.90547763850648</c:v>
                </c:pt>
                <c:pt idx="165">
                  <c:v>184.91571292050116</c:v>
                </c:pt>
                <c:pt idx="166">
                  <c:v>184.92571711271137</c:v>
                </c:pt>
                <c:pt idx="167">
                  <c:v>184.93549291721502</c:v>
                </c:pt>
                <c:pt idx="168">
                  <c:v>184.94504299755093</c:v>
                </c:pt>
                <c:pt idx="169">
                  <c:v>184.95436997938918</c:v>
                </c:pt>
                <c:pt idx="170">
                  <c:v>184.96347645118766</c:v>
                </c:pt>
                <c:pt idx="171">
                  <c:v>184.97236496483504</c:v>
                </c:pt>
                <c:pt idx="172">
                  <c:v>184.98103803628078</c:v>
                </c:pt>
                <c:pt idx="173">
                  <c:v>184.98949814615202</c:v>
                </c:pt>
                <c:pt idx="174">
                  <c:v>184.99774774035777</c:v>
                </c:pt>
                <c:pt idx="175">
                  <c:v>185.00578923068124</c:v>
                </c:pt>
                <c:pt idx="176">
                  <c:v>185.01362499535995</c:v>
                </c:pt>
                <c:pt idx="177">
                  <c:v>185.02125737965389</c:v>
                </c:pt>
                <c:pt idx="178">
                  <c:v>185.02868869640278</c:v>
                </c:pt>
                <c:pt idx="179">
                  <c:v>185.0359212265717</c:v>
                </c:pt>
                <c:pt idx="180">
                  <c:v>185.04295721978605</c:v>
                </c:pt>
                <c:pt idx="181">
                  <c:v>185.04979889485583</c:v>
                </c:pt>
                <c:pt idx="182">
                  <c:v>185.05644844028927</c:v>
                </c:pt>
                <c:pt idx="183">
                  <c:v>185.06290801479693</c:v>
                </c:pt>
                <c:pt idx="184">
                  <c:v>185.0691797477848</c:v>
                </c:pt>
                <c:pt idx="185">
                  <c:v>185.07526573983898</c:v>
                </c:pt>
                <c:pt idx="186">
                  <c:v>185.08116806319981</c:v>
                </c:pt>
                <c:pt idx="187">
                  <c:v>185.08688876222718</c:v>
                </c:pt>
                <c:pt idx="188">
                  <c:v>185.09242985385683</c:v>
                </c:pt>
                <c:pt idx="189">
                  <c:v>185.09779332804783</c:v>
                </c:pt>
                <c:pt idx="190">
                  <c:v>185.10298114822081</c:v>
                </c:pt>
                <c:pt idx="191">
                  <c:v>185.10799525168875</c:v>
                </c:pt>
                <c:pt idx="192">
                  <c:v>185.1128375500785</c:v>
                </c:pt>
                <c:pt idx="193">
                  <c:v>185.11750992974501</c:v>
                </c:pt>
                <c:pt idx="194">
                  <c:v>185.12201425217694</c:v>
                </c:pt>
                <c:pt idx="195">
                  <c:v>185.12635235439504</c:v>
                </c:pt>
                <c:pt idx="196">
                  <c:v>185.13052604934296</c:v>
                </c:pt>
                <c:pt idx="197">
                  <c:v>185.13453712627029</c:v>
                </c:pt>
                <c:pt idx="198">
                  <c:v>185.13838735110852</c:v>
                </c:pt>
                <c:pt idx="199">
                  <c:v>185.14207846684053</c:v>
                </c:pt>
                <c:pt idx="200">
                  <c:v>185.14561219386184</c:v>
                </c:pt>
                <c:pt idx="201">
                  <c:v>185.14899023033644</c:v>
                </c:pt>
                <c:pt idx="202">
                  <c:v>185.15221425254529</c:v>
                </c:pt>
                <c:pt idx="203">
                  <c:v>185.15528591522835</c:v>
                </c:pt>
                <c:pt idx="204">
                  <c:v>185.15820685192065</c:v>
                </c:pt>
                <c:pt idx="205">
                  <c:v>185.16097867528154</c:v>
                </c:pt>
                <c:pt idx="206">
                  <c:v>185.16360297741846</c:v>
                </c:pt>
                <c:pt idx="207">
                  <c:v>185.16608133020463</c:v>
                </c:pt>
                <c:pt idx="208">
                  <c:v>185.1684152855905</c:v>
                </c:pt>
                <c:pt idx="209">
                  <c:v>185.17060637591027</c:v>
                </c:pt>
                <c:pt idx="210">
                  <c:v>185.17265611418193</c:v>
                </c:pt>
                <c:pt idx="211">
                  <c:v>185.17456599440268</c:v>
                </c:pt>
                <c:pt idx="212">
                  <c:v>185.1763374918385</c:v>
                </c:pt>
                <c:pt idx="213">
                  <c:v>185.17797206330854</c:v>
                </c:pt>
                <c:pt idx="214">
                  <c:v>185.17947114746485</c:v>
                </c:pt>
                <c:pt idx="215">
                  <c:v>185.1808361650663</c:v>
                </c:pt>
                <c:pt idx="216">
                  <c:v>185.18206851924825</c:v>
                </c:pt>
                <c:pt idx="217">
                  <c:v>185.18316959578726</c:v>
                </c:pt>
                <c:pt idx="218">
                  <c:v>185.18414076336086</c:v>
                </c:pt>
                <c:pt idx="219">
                  <c:v>185.18498337380308</c:v>
                </c:pt>
                <c:pt idx="220">
                  <c:v>185.18569876235495</c:v>
                </c:pt>
                <c:pt idx="221">
                  <c:v>185.18628824791128</c:v>
                </c:pt>
                <c:pt idx="222">
                  <c:v>185.1867531332625</c:v>
                </c:pt>
                <c:pt idx="223">
                  <c:v>185.1870947053323</c:v>
                </c:pt>
                <c:pt idx="224">
                  <c:v>185.18731423541172</c:v>
                </c:pt>
                <c:pt idx="225">
                  <c:v>185.18741297938851</c:v>
                </c:pt>
                <c:pt idx="226">
                  <c:v>185.1873921779725</c:v>
                </c:pt>
                <c:pt idx="227">
                  <c:v>185.18725305691765</c:v>
                </c:pt>
                <c:pt idx="228">
                  <c:v>185.1869968272398</c:v>
                </c:pt>
                <c:pt idx="229">
                  <c:v>185.18662468543067</c:v>
                </c:pt>
                <c:pt idx="230">
                  <c:v>185.1861378136681</c:v>
                </c:pt>
                <c:pt idx="231">
                  <c:v>185.18553738002336</c:v>
                </c:pt>
                <c:pt idx="232">
                  <c:v>185.18482453866403</c:v>
                </c:pt>
                <c:pt idx="233">
                  <c:v>185.18400043005383</c:v>
                </c:pt>
                <c:pt idx="234">
                  <c:v>185.18306618114926</c:v>
                </c:pt>
                <c:pt idx="235">
                  <c:v>185.18202290559239</c:v>
                </c:pt>
                <c:pt idx="236">
                  <c:v>185.18087170390075</c:v>
                </c:pt>
                <c:pt idx="237">
                  <c:v>185.17961366365412</c:v>
                </c:pt>
                <c:pt idx="238">
                  <c:v>185.17824985967789</c:v>
                </c:pt>
                <c:pt idx="239">
                  <c:v>185.17678135422327</c:v>
                </c:pt>
                <c:pt idx="240">
                  <c:v>185.17520919714497</c:v>
                </c:pt>
                <c:pt idx="241">
                  <c:v>185.17353442607543</c:v>
                </c:pt>
                <c:pt idx="242">
                  <c:v>185.17175806659648</c:v>
                </c:pt>
                <c:pt idx="243">
                  <c:v>185.1698811324078</c:v>
                </c:pt>
                <c:pt idx="244">
                  <c:v>185.16790462549295</c:v>
                </c:pt>
                <c:pt idx="245">
                  <c:v>185.16582953628247</c:v>
                </c:pt>
                <c:pt idx="246">
                  <c:v>185.16365684381438</c:v>
                </c:pt>
                <c:pt idx="247">
                  <c:v>185.16138751589199</c:v>
                </c:pt>
                <c:pt idx="248">
                  <c:v>185.15902250923901</c:v>
                </c:pt>
                <c:pt idx="249">
                  <c:v>185.1565627696524</c:v>
                </c:pt>
                <c:pt idx="250">
                  <c:v>185.15400923215259</c:v>
                </c:pt>
                <c:pt idx="251">
                  <c:v>185.15136282113107</c:v>
                </c:pt>
                <c:pt idx="252">
                  <c:v>185.14862445049607</c:v>
                </c:pt>
                <c:pt idx="253">
                  <c:v>185.1457950238152</c:v>
                </c:pt>
                <c:pt idx="254">
                  <c:v>185.14287543445661</c:v>
                </c:pt>
                <c:pt idx="255">
                  <c:v>185.13986656572703</c:v>
                </c:pt>
                <c:pt idx="256">
                  <c:v>185.13676929100831</c:v>
                </c:pt>
                <c:pt idx="257">
                  <c:v>185.13358447389132</c:v>
                </c:pt>
                <c:pt idx="258">
                  <c:v>185.13031296830809</c:v>
                </c:pt>
                <c:pt idx="259">
                  <c:v>185.12695561866121</c:v>
                </c:pt>
                <c:pt idx="260">
                  <c:v>185.12351325995209</c:v>
                </c:pt>
                <c:pt idx="261">
                  <c:v>185.11998671790619</c:v>
                </c:pt>
                <c:pt idx="262">
                  <c:v>185.1163768090974</c:v>
                </c:pt>
                <c:pt idx="263">
                  <c:v>185.11268434106915</c:v>
                </c:pt>
                <c:pt idx="264">
                  <c:v>185.10891011245471</c:v>
                </c:pt>
                <c:pt idx="265">
                  <c:v>185.10505491309533</c:v>
                </c:pt>
                <c:pt idx="266">
                  <c:v>185.10111952415579</c:v>
                </c:pt>
                <c:pt idx="267">
                  <c:v>185.09710471823959</c:v>
                </c:pt>
                <c:pt idx="268">
                  <c:v>185.0930112595008</c:v>
                </c:pt>
                <c:pt idx="269">
                  <c:v>185.08883990375523</c:v>
                </c:pt>
                <c:pt idx="270">
                  <c:v>185.08459139858951</c:v>
                </c:pt>
                <c:pt idx="271">
                  <c:v>185.08026648346845</c:v>
                </c:pt>
                <c:pt idx="272">
                  <c:v>185.07586588984088</c:v>
                </c:pt>
                <c:pt idx="273">
                  <c:v>185.07139034124376</c:v>
                </c:pt>
                <c:pt idx="274">
                  <c:v>185.06684055340466</c:v>
                </c:pt>
                <c:pt idx="275">
                  <c:v>185.06221723434285</c:v>
                </c:pt>
                <c:pt idx="276">
                  <c:v>185.05752108446876</c:v>
                </c:pt>
                <c:pt idx="277">
                  <c:v>185.05275279668172</c:v>
                </c:pt>
                <c:pt idx="278">
                  <c:v>185.04791305646651</c:v>
                </c:pt>
                <c:pt idx="279">
                  <c:v>185.0430025419885</c:v>
                </c:pt>
                <c:pt idx="280">
                  <c:v>185.03802192418686</c:v>
                </c:pt>
                <c:pt idx="281">
                  <c:v>185.03297186686711</c:v>
                </c:pt>
                <c:pt idx="282">
                  <c:v>185.02785302679135</c:v>
                </c:pt>
                <c:pt idx="283">
                  <c:v>185.02266605376809</c:v>
                </c:pt>
                <c:pt idx="284">
                  <c:v>185.01741159074007</c:v>
                </c:pt>
                <c:pt idx="285">
                  <c:v>185.01209027387125</c:v>
                </c:pt>
                <c:pt idx="286">
                  <c:v>185.00670273263174</c:v>
                </c:pt>
                <c:pt idx="287">
                  <c:v>185.00124958988266</c:v>
                </c:pt>
                <c:pt idx="288">
                  <c:v>184.99573146195837</c:v>
                </c:pt>
                <c:pt idx="289">
                  <c:v>184.99014895874876</c:v>
                </c:pt>
                <c:pt idx="290">
                  <c:v>184.98450268377937</c:v>
                </c:pt>
                <c:pt idx="291">
                  <c:v>184.97879323429086</c:v>
                </c:pt>
                <c:pt idx="292">
                  <c:v>184.9730212013171</c:v>
                </c:pt>
                <c:pt idx="293">
                  <c:v>184.96718716976218</c:v>
                </c:pt>
                <c:pt idx="294">
                  <c:v>184.96129171847628</c:v>
                </c:pt>
                <c:pt idx="295">
                  <c:v>184.95533542033056</c:v>
                </c:pt>
                <c:pt idx="296">
                  <c:v>184.94931884229052</c:v>
                </c:pt>
                <c:pt idx="297">
                  <c:v>184.94324254548903</c:v>
                </c:pt>
                <c:pt idx="298">
                  <c:v>184.93710708529747</c:v>
                </c:pt>
                <c:pt idx="299">
                  <c:v>184.9309130113966</c:v>
                </c:pt>
                <c:pt idx="300">
                  <c:v>184.924660867846</c:v>
                </c:pt>
                <c:pt idx="301">
                  <c:v>184.91835119315235</c:v>
                </c:pt>
                <c:pt idx="302">
                  <c:v>184.91198452033711</c:v>
                </c:pt>
                <c:pt idx="303">
                  <c:v>184.90556137700327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82784"/>
        <c:axId val="357983176"/>
      </c:scatterChart>
      <c:valAx>
        <c:axId val="357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3176"/>
        <c:crosses val="autoZero"/>
        <c:crossBetween val="midCat"/>
      </c:valAx>
      <c:valAx>
        <c:axId val="3579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4328"/>
        <c:axId val="360642760"/>
      </c:scatterChart>
      <c:valAx>
        <c:axId val="3606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42760"/>
        <c:crosses val="autoZero"/>
        <c:crossBetween val="midCat"/>
      </c:valAx>
      <c:valAx>
        <c:axId val="3606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Recordbreaker'!$D$14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Recordbreaker'!$C$15:$C$318</c:f>
              <c:numCache>
                <c:formatCode>0.00</c:formatCode>
                <c:ptCount val="304"/>
                <c:pt idx="0">
                  <c:v>12.200208535295184</c:v>
                </c:pt>
                <c:pt idx="1">
                  <c:v>12.123741579555219</c:v>
                </c:pt>
                <c:pt idx="2">
                  <c:v>12.048405495518193</c:v>
                </c:pt>
                <c:pt idx="3">
                  <c:v>11.974174303506198</c:v>
                </c:pt>
                <c:pt idx="4">
                  <c:v>11.901022829470339</c:v>
                </c:pt>
                <c:pt idx="5">
                  <c:v>11.828926673644192</c:v>
                </c:pt>
                <c:pt idx="6">
                  <c:v>11.757862180660867</c:v>
                </c:pt>
                <c:pt idx="7">
                  <c:v>11.687806411053394</c:v>
                </c:pt>
                <c:pt idx="8">
                  <c:v>11.618737114064496</c:v>
                </c:pt>
                <c:pt idx="9">
                  <c:v>11.550632701695285</c:v>
                </c:pt>
                <c:pt idx="10">
                  <c:v>11.483472223927507</c:v>
                </c:pt>
                <c:pt idx="11">
                  <c:v>11.417235345057286</c:v>
                </c:pt>
                <c:pt idx="12">
                  <c:v>11.351902321082591</c:v>
                </c:pt>
                <c:pt idx="13">
                  <c:v>11.287453978089605</c:v>
                </c:pt>
                <c:pt idx="14">
                  <c:v>11.223871691586773</c:v>
                </c:pt>
                <c:pt idx="15">
                  <c:v>11.161137366737913</c:v>
                </c:pt>
                <c:pt idx="16">
                  <c:v>11.09923341944925</c:v>
                </c:pt>
                <c:pt idx="17">
                  <c:v>11.038142758266916</c:v>
                </c:pt>
                <c:pt idx="18">
                  <c:v>10.977848767045002</c:v>
                </c:pt>
                <c:pt idx="19">
                  <c:v>10.918335288345439</c:v>
                </c:pt>
                <c:pt idx="20">
                  <c:v>10.859586607534251</c:v>
                </c:pt>
                <c:pt idx="21">
                  <c:v>10.801587437539649</c:v>
                </c:pt>
                <c:pt idx="22">
                  <c:v>10.744322904240223</c:v>
                </c:pt>
                <c:pt idx="23">
                  <c:v>10.687778532452821</c:v>
                </c:pt>
                <c:pt idx="24">
                  <c:v>10.631940232491422</c:v>
                </c:pt>
                <c:pt idx="25">
                  <c:v>10.5767942872698</c:v>
                </c:pt>
                <c:pt idx="26">
                  <c:v>10.522327339922455</c:v>
                </c:pt>
                <c:pt idx="27">
                  <c:v>10.468526381919746</c:v>
                </c:pt>
                <c:pt idx="28">
                  <c:v>10.415378741653656</c:v>
                </c:pt>
                <c:pt idx="29">
                  <c:v>10.362872073473188</c:v>
                </c:pt>
                <c:pt idx="30">
                  <c:v>10.310994347148197</c:v>
                </c:pt>
                <c:pt idx="31">
                  <c:v>10.259733837742496</c:v>
                </c:pt>
                <c:pt idx="32">
                  <c:v>10.209079115877499</c:v>
                </c:pt>
                <c:pt idx="33">
                  <c:v>10.159019038368854</c:v>
                </c:pt>
                <c:pt idx="34">
                  <c:v>10.109542739219815</c:v>
                </c:pt>
                <c:pt idx="35">
                  <c:v>10.060639620954733</c:v>
                </c:pt>
                <c:pt idx="36">
                  <c:v>10.012299346278471</c:v>
                </c:pt>
                <c:pt idx="37">
                  <c:v>9.9645118300470763</c:v>
                </c:pt>
                <c:pt idx="38">
                  <c:v>9.9172672315360941</c:v>
                </c:pt>
                <c:pt idx="39">
                  <c:v>9.8705559469939868</c:v>
                </c:pt>
                <c:pt idx="40">
                  <c:v>9.8243686024680379</c:v>
                </c:pt>
                <c:pt idx="41">
                  <c:v>9.7786960468914259</c:v>
                </c:pt>
                <c:pt idx="42">
                  <c:v>9.7335293454202123</c:v>
                </c:pt>
                <c:pt idx="43">
                  <c:v>9.6888597730096251</c:v>
                </c:pt>
                <c:pt idx="44">
                  <c:v>9.6446788082200072</c:v>
                </c:pt>
                <c:pt idx="45">
                  <c:v>9.6009781272422465</c:v>
                </c:pt>
                <c:pt idx="46">
                  <c:v>9.557749598134345</c:v>
                </c:pt>
                <c:pt idx="47">
                  <c:v>9.5149852752596278</c:v>
                </c:pt>
                <c:pt idx="48">
                  <c:v>9.4726773939191737</c:v>
                </c:pt>
                <c:pt idx="49">
                  <c:v>9.4308183651698894</c:v>
                </c:pt>
                <c:pt idx="50">
                  <c:v>9.3894007708211404</c:v>
                </c:pt>
                <c:pt idx="51">
                  <c:v>9.3484173586025943</c:v>
                </c:pt>
                <c:pt idx="52">
                  <c:v>9.3078610374965489</c:v>
                </c:pt>
                <c:pt idx="53">
                  <c:v>9.2677248732280937</c:v>
                </c:pt>
                <c:pt idx="54">
                  <c:v>9.2280020839068779</c:v>
                </c:pt>
                <c:pt idx="55">
                  <c:v>9.1886860358148343</c:v>
                </c:pt>
                <c:pt idx="56">
                  <c:v>9.1497702393336713</c:v>
                </c:pt>
                <c:pt idx="57">
                  <c:v>9.1112483450070911</c:v>
                </c:pt>
                <c:pt idx="58">
                  <c:v>9.0731141397324127</c:v>
                </c:pt>
                <c:pt idx="59">
                  <c:v>9.0353615430766965</c:v>
                </c:pt>
                <c:pt idx="60">
                  <c:v>8.9979846037124354</c:v>
                </c:pt>
                <c:pt idx="61">
                  <c:v>8.9609774959686472</c:v>
                </c:pt>
                <c:pt idx="62">
                  <c:v>8.9243345164924932</c:v>
                </c:pt>
                <c:pt idx="63">
                  <c:v>8.8880500810178962</c:v>
                </c:pt>
                <c:pt idx="64">
                  <c:v>8.8521187212365504</c:v>
                </c:pt>
                <c:pt idx="65">
                  <c:v>8.816535081768059</c:v>
                </c:pt>
                <c:pt idx="66">
                  <c:v>8.7812939172252058</c:v>
                </c:pt>
                <c:pt idx="67">
                  <c:v>8.7463900893709869</c:v>
                </c:pt>
                <c:pt idx="68">
                  <c:v>8.7118185643639823</c:v>
                </c:pt>
                <c:pt idx="69">
                  <c:v>8.6775744100891234</c:v>
                </c:pt>
                <c:pt idx="70">
                  <c:v>8.6436527935702703</c:v>
                </c:pt>
                <c:pt idx="71">
                  <c:v>8.6100489784622951</c:v>
                </c:pt>
                <c:pt idx="72">
                  <c:v>8.576758322619245</c:v>
                </c:pt>
                <c:pt idx="73">
                  <c:v>8.5437762757362599</c:v>
                </c:pt>
                <c:pt idx="74">
                  <c:v>8.5110983770625257</c:v>
                </c:pt>
                <c:pt idx="75">
                  <c:v>8.4787202531826988</c:v>
                </c:pt>
                <c:pt idx="76">
                  <c:v>8.4466376158645051</c:v>
                </c:pt>
                <c:pt idx="77">
                  <c:v>8.4148462599701812</c:v>
                </c:pt>
                <c:pt idx="78">
                  <c:v>8.3833420614295537</c:v>
                </c:pt>
                <c:pt idx="79">
                  <c:v>8.3521209752725234</c:v>
                </c:pt>
                <c:pt idx="80">
                  <c:v>8.3211790337191545</c:v>
                </c:pt>
                <c:pt idx="81">
                  <c:v>8.2905123443251441</c:v>
                </c:pt>
                <c:pt idx="82">
                  <c:v>8.2601170881810226</c:v>
                </c:pt>
                <c:pt idx="83">
                  <c:v>8.2299895181630482</c:v>
                </c:pt>
                <c:pt idx="84">
                  <c:v>8.2001259572342899</c:v>
                </c:pt>
                <c:pt idx="85">
                  <c:v>8.1705227967940548</c:v>
                </c:pt>
                <c:pt idx="86">
                  <c:v>8.1411764950740029</c:v>
                </c:pt>
                <c:pt idx="87">
                  <c:v>8.1120835755797636</c:v>
                </c:pt>
                <c:pt idx="88">
                  <c:v>8.083240625576007</c:v>
                </c:pt>
                <c:pt idx="89">
                  <c:v>8.0546442946139987</c:v>
                </c:pt>
                <c:pt idx="90">
                  <c:v>8.026291293100094</c:v>
                </c:pt>
                <c:pt idx="91">
                  <c:v>7.9981783909037789</c:v>
                </c:pt>
                <c:pt idx="92">
                  <c:v>7.9703024160040208</c:v>
                </c:pt>
                <c:pt idx="93">
                  <c:v>7.9426602531728339</c:v>
                </c:pt>
                <c:pt idx="94">
                  <c:v>7.9152488426945995</c:v>
                </c:pt>
                <c:pt idx="95">
                  <c:v>7.8880651791202236</c:v>
                </c:pt>
                <c:pt idx="96">
                  <c:v>7.8611063100550957</c:v>
                </c:pt>
                <c:pt idx="97">
                  <c:v>7.8343693349792698</c:v>
                </c:pt>
                <c:pt idx="98">
                  <c:v>7.8078514040996927</c:v>
                </c:pt>
                <c:pt idx="99">
                  <c:v>7.7815497172326209</c:v>
                </c:pt>
                <c:pt idx="100">
                  <c:v>7.7554615227160042</c:v>
                </c:pt>
                <c:pt idx="101">
                  <c:v>7.7295841163502699</c:v>
                </c:pt>
                <c:pt idx="102">
                  <c:v>7.703914840367176</c:v>
                </c:pt>
                <c:pt idx="103">
                  <c:v>7.6784510824256156</c:v>
                </c:pt>
                <c:pt idx="104">
                  <c:v>7.6531902746334408</c:v>
                </c:pt>
                <c:pt idx="105">
                  <c:v>7.6281298925947718</c:v>
                </c:pt>
                <c:pt idx="106">
                  <c:v>7.6032674544818919</c:v>
                </c:pt>
                <c:pt idx="107">
                  <c:v>7.5786005201308937</c:v>
                </c:pt>
                <c:pt idx="108">
                  <c:v>7.554126690160599</c:v>
                </c:pt>
                <c:pt idx="109">
                  <c:v>7.5298436051137561</c:v>
                </c:pt>
                <c:pt idx="110">
                  <c:v>7.5057489446202306</c:v>
                </c:pt>
                <c:pt idx="111">
                  <c:v>7.481840426581071</c:v>
                </c:pt>
                <c:pt idx="112">
                  <c:v>7.4581158063733364</c:v>
                </c:pt>
                <c:pt idx="113">
                  <c:v>7.4345728760745686</c:v>
                </c:pt>
                <c:pt idx="114">
                  <c:v>7.4112094637068289</c:v>
                </c:pt>
                <c:pt idx="115">
                  <c:v>7.3880234324993728</c:v>
                </c:pt>
                <c:pt idx="116">
                  <c:v>7.3650126801694817</c:v>
                </c:pt>
                <c:pt idx="117">
                  <c:v>7.3421751382211733</c:v>
                </c:pt>
                <c:pt idx="118">
                  <c:v>7.3195087712608924</c:v>
                </c:pt>
                <c:pt idx="119">
                  <c:v>7.2970115763300223</c:v>
                </c:pt>
                <c:pt idx="120">
                  <c:v>7.2746815822535469</c:v>
                </c:pt>
                <c:pt idx="121">
                  <c:v>7.2525168490045182</c:v>
                </c:pt>
                <c:pt idx="122">
                  <c:v>7.230515467083789</c:v>
                </c:pt>
                <c:pt idx="123">
                  <c:v>7.2086755569146552</c:v>
                </c:pt>
                <c:pt idx="124">
                  <c:v>7.186995268251902</c:v>
                </c:pt>
                <c:pt idx="125">
                  <c:v>7.1654727796050048</c:v>
                </c:pt>
                <c:pt idx="126">
                  <c:v>7.144106297674937</c:v>
                </c:pt>
                <c:pt idx="127">
                  <c:v>7.122894056804201</c:v>
                </c:pt>
                <c:pt idx="128">
                  <c:v>7.1018343184399635</c:v>
                </c:pt>
                <c:pt idx="129">
                  <c:v>7.0809253706095818</c:v>
                </c:pt>
                <c:pt idx="130">
                  <c:v>7.0601655274084081</c:v>
                </c:pt>
                <c:pt idx="131">
                  <c:v>7.0395531284995432</c:v>
                </c:pt>
                <c:pt idx="132">
                  <c:v>7.0190865386250954</c:v>
                </c:pt>
                <c:pt idx="133">
                  <c:v>6.9987641471286759</c:v>
                </c:pt>
                <c:pt idx="134">
                  <c:v>6.9785843674889536</c:v>
                </c:pt>
                <c:pt idx="135">
                  <c:v>6.9585456368637058</c:v>
                </c:pt>
                <c:pt idx="136">
                  <c:v>6.9386464156444472</c:v>
                </c:pt>
                <c:pt idx="137">
                  <c:v>6.9188851870209458</c:v>
                </c:pt>
                <c:pt idx="138">
                  <c:v>6.8992604565557176</c:v>
                </c:pt>
                <c:pt idx="139">
                  <c:v>6.8797707517680458</c:v>
                </c:pt>
                <c:pt idx="140">
                  <c:v>6.8604146217272985</c:v>
                </c:pt>
                <c:pt idx="141">
                  <c:v>6.8411906366553596</c:v>
                </c:pt>
                <c:pt idx="142">
                  <c:v>6.822097387537891</c:v>
                </c:pt>
                <c:pt idx="143">
                  <c:v>6.8031334857441781</c:v>
                </c:pt>
                <c:pt idx="144">
                  <c:v>6.7842975626553654</c:v>
                </c:pt>
                <c:pt idx="145">
                  <c:v>6.7655882693009213</c:v>
                </c:pt>
                <c:pt idx="146">
                  <c:v>6.7470042760029756</c:v>
                </c:pt>
                <c:pt idx="147">
                  <c:v>6.7285442720284845</c:v>
                </c:pt>
                <c:pt idx="148">
                  <c:v>6.7102069652489016</c:v>
                </c:pt>
                <c:pt idx="149">
                  <c:v>6.6919910818072843</c:v>
                </c:pt>
                <c:pt idx="150">
                  <c:v>6.6738953657924895</c:v>
                </c:pt>
                <c:pt idx="151">
                  <c:v>6.6559185789204411</c:v>
                </c:pt>
                <c:pt idx="152">
                  <c:v>6.6380595002221838</c:v>
                </c:pt>
                <c:pt idx="153">
                  <c:v>6.6203169257386278</c:v>
                </c:pt>
                <c:pt idx="154">
                  <c:v>6.6026896682217195</c:v>
                </c:pt>
                <c:pt idx="155">
                  <c:v>6.5851765568420317</c:v>
                </c:pt>
                <c:pt idx="156">
                  <c:v>6.567776436902399</c:v>
                </c:pt>
                <c:pt idx="157">
                  <c:v>6.5504881695576822</c:v>
                </c:pt>
                <c:pt idx="158">
                  <c:v>6.5333106315403287</c:v>
                </c:pt>
                <c:pt idx="159">
                  <c:v>6.5162427148917317</c:v>
                </c:pt>
                <c:pt idx="160">
                  <c:v>6.4992833266990662</c:v>
                </c:pt>
                <c:pt idx="161">
                  <c:v>6.2409544569316884</c:v>
                </c:pt>
                <c:pt idx="162">
                  <c:v>6.4824313888377159</c:v>
                </c:pt>
                <c:pt idx="163">
                  <c:v>6.4656858377188637</c:v>
                </c:pt>
                <c:pt idx="164">
                  <c:v>6.449045624042431</c:v>
                </c:pt>
                <c:pt idx="165">
                  <c:v>6.4325097125549204</c:v>
                </c:pt>
                <c:pt idx="166">
                  <c:v>6.4160770818123583</c:v>
                </c:pt>
                <c:pt idx="167">
                  <c:v>6.3997467239479411</c:v>
                </c:pt>
                <c:pt idx="168">
                  <c:v>6.3835176444444546</c:v>
                </c:pt>
                <c:pt idx="169">
                  <c:v>6.3673888619112917</c:v>
                </c:pt>
                <c:pt idx="170">
                  <c:v>6.3513594078659086</c:v>
                </c:pt>
                <c:pt idx="171">
                  <c:v>6.3354283265197564</c:v>
                </c:pt>
                <c:pt idx="172">
                  <c:v>6.3195946745684042</c:v>
                </c:pt>
                <c:pt idx="173">
                  <c:v>6.303857520985888</c:v>
                </c:pt>
                <c:pt idx="174">
                  <c:v>6.2882159468231658</c:v>
                </c:pt>
                <c:pt idx="175">
                  <c:v>6.2726690450104723</c:v>
                </c:pt>
                <c:pt idx="176">
                  <c:v>6.257215920163727</c:v>
                </c:pt>
                <c:pt idx="177">
                  <c:v>6.2418556883945522</c:v>
                </c:pt>
                <c:pt idx="178">
                  <c:v>6.2265874771241849</c:v>
                </c:pt>
                <c:pt idx="179">
                  <c:v>6.2114104249009525</c:v>
                </c:pt>
                <c:pt idx="180">
                  <c:v>6.1963236812212532</c:v>
                </c:pt>
                <c:pt idx="181">
                  <c:v>6.1813264063540743</c:v>
                </c:pt>
                <c:pt idx="182">
                  <c:v>6.1664177711689216</c:v>
                </c:pt>
                <c:pt idx="183">
                  <c:v>6.1515969569669533</c:v>
                </c:pt>
                <c:pt idx="184">
                  <c:v>6.1368631553155151</c:v>
                </c:pt>
                <c:pt idx="185">
                  <c:v>6.1222155678856325</c:v>
                </c:pt>
                <c:pt idx="186">
                  <c:v>6.1076534062928731</c:v>
                </c:pt>
                <c:pt idx="187">
                  <c:v>6.0931758919409518</c:v>
                </c:pt>
                <c:pt idx="188">
                  <c:v>6.0787822558685098</c:v>
                </c:pt>
                <c:pt idx="189">
                  <c:v>6.0644717385986784</c:v>
                </c:pt>
                <c:pt idx="190">
                  <c:v>6.0502435899915117</c:v>
                </c:pt>
                <c:pt idx="191">
                  <c:v>6.0360970690991946</c:v>
                </c:pt>
                <c:pt idx="192">
                  <c:v>6.0220314440239138</c:v>
                </c:pt>
                <c:pt idx="193">
                  <c:v>6.0080459917784497</c:v>
                </c:pt>
                <c:pt idx="194">
                  <c:v>5.9941399981492767</c:v>
                </c:pt>
                <c:pt idx="195">
                  <c:v>5.980312757562289</c:v>
                </c:pt>
                <c:pt idx="196">
                  <c:v>5.966563572950899</c:v>
                </c:pt>
                <c:pt idx="197">
                  <c:v>5.9528917556267</c:v>
                </c:pt>
                <c:pt idx="198">
                  <c:v>5.9392966251523296</c:v>
                </c:pt>
                <c:pt idx="199">
                  <c:v>5.9257775092168368</c:v>
                </c:pt>
                <c:pt idx="200">
                  <c:v>5.9123337435131571</c:v>
                </c:pt>
                <c:pt idx="201">
                  <c:v>5.8989646716179864</c:v>
                </c:pt>
                <c:pt idx="202">
                  <c:v>5.8856696448736461</c:v>
                </c:pt>
                <c:pt idx="203">
                  <c:v>5.872448022272228</c:v>
                </c:pt>
                <c:pt idx="204">
                  <c:v>5.8592991703417274</c:v>
                </c:pt>
                <c:pt idx="205">
                  <c:v>5.8462224630343291</c:v>
                </c:pt>
                <c:pt idx="206">
                  <c:v>5.8332172816165437</c:v>
                </c:pt>
                <c:pt idx="207">
                  <c:v>5.8202830145614346</c:v>
                </c:pt>
                <c:pt idx="208">
                  <c:v>5.8074190574427069</c:v>
                </c:pt>
                <c:pt idx="209">
                  <c:v>5.7946248128306301</c:v>
                </c:pt>
                <c:pt idx="210">
                  <c:v>5.781899690189924</c:v>
                </c:pt>
                <c:pt idx="211">
                  <c:v>5.7692431057793003</c:v>
                </c:pt>
                <c:pt idx="212">
                  <c:v>5.7566544825528707</c:v>
                </c:pt>
                <c:pt idx="213">
                  <c:v>5.7441332500632134</c:v>
                </c:pt>
                <c:pt idx="214">
                  <c:v>5.731678844366205</c:v>
                </c:pt>
                <c:pt idx="215">
                  <c:v>5.7192907079274224</c:v>
                </c:pt>
                <c:pt idx="216">
                  <c:v>5.7069682895302556</c:v>
                </c:pt>
                <c:pt idx="217">
                  <c:v>5.6947110441855173</c:v>
                </c:pt>
                <c:pt idx="218">
                  <c:v>5.6825184330427163</c:v>
                </c:pt>
                <c:pt idx="219">
                  <c:v>5.6703899233027668</c:v>
                </c:pt>
                <c:pt idx="220">
                  <c:v>5.6583249881322377</c:v>
                </c:pt>
                <c:pt idx="221">
                  <c:v>5.6463231065790644</c:v>
                </c:pt>
                <c:pt idx="222">
                  <c:v>5.6343837634896756</c:v>
                </c:pt>
                <c:pt idx="223">
                  <c:v>5.6225064494275721</c:v>
                </c:pt>
                <c:pt idx="224">
                  <c:v>5.6106906605932414</c:v>
                </c:pt>
                <c:pt idx="225">
                  <c:v>5.5989358987454416</c:v>
                </c:pt>
                <c:pt idx="226">
                  <c:v>5.5872416711238273</c:v>
                </c:pt>
                <c:pt idx="227">
                  <c:v>5.575607490372831</c:v>
                </c:pt>
                <c:pt idx="228">
                  <c:v>5.564032874466867</c:v>
                </c:pt>
                <c:pt idx="229">
                  <c:v>5.5525173466367734</c:v>
                </c:pt>
                <c:pt idx="230">
                  <c:v>5.5410604352974424</c:v>
                </c:pt>
                <c:pt idx="231">
                  <c:v>5.5296616739767179</c:v>
                </c:pt>
                <c:pt idx="232">
                  <c:v>5.5183206012453967</c:v>
                </c:pt>
                <c:pt idx="233">
                  <c:v>5.5070367606484307</c:v>
                </c:pt>
                <c:pt idx="234">
                  <c:v>5.4958097006372766</c:v>
                </c:pt>
                <c:pt idx="235">
                  <c:v>5.4846389745032997</c:v>
                </c:pt>
                <c:pt idx="236">
                  <c:v>5.4735241403123007</c:v>
                </c:pt>
                <c:pt idx="237">
                  <c:v>5.4624647608401302</c:v>
                </c:pt>
                <c:pt idx="238">
                  <c:v>5.451460403509321</c:v>
                </c:pt>
                <c:pt idx="239">
                  <c:v>5.4405106403267638</c:v>
                </c:pt>
                <c:pt idx="240">
                  <c:v>5.4296150478223488</c:v>
                </c:pt>
                <c:pt idx="241">
                  <c:v>5.4187732069886971</c:v>
                </c:pt>
                <c:pt idx="242">
                  <c:v>5.4079847032217367</c:v>
                </c:pt>
                <c:pt idx="243">
                  <c:v>5.3972491262623388</c:v>
                </c:pt>
                <c:pt idx="244">
                  <c:v>5.3865660701388434</c:v>
                </c:pt>
                <c:pt idx="245">
                  <c:v>5.3759351331104535</c:v>
                </c:pt>
                <c:pt idx="246">
                  <c:v>5.3653559176116392</c:v>
                </c:pt>
                <c:pt idx="247">
                  <c:v>5.3548280301973303</c:v>
                </c:pt>
                <c:pt idx="248">
                  <c:v>5.3443510814890223</c:v>
                </c:pt>
                <c:pt idx="249">
                  <c:v>5.33392468612172</c:v>
                </c:pt>
                <c:pt idx="250">
                  <c:v>5.323548462691698</c:v>
                </c:pt>
                <c:pt idx="251">
                  <c:v>5.313222033705145</c:v>
                </c:pt>
                <c:pt idx="252">
                  <c:v>5.3029450255275261</c:v>
                </c:pt>
                <c:pt idx="253">
                  <c:v>5.2927170683337952</c:v>
                </c:pt>
                <c:pt idx="254">
                  <c:v>5.2825377960593594</c:v>
                </c:pt>
                <c:pt idx="255">
                  <c:v>5.272406846351819</c:v>
                </c:pt>
                <c:pt idx="256">
                  <c:v>5.2623238605234404</c:v>
                </c:pt>
                <c:pt idx="257">
                  <c:v>5.2522884835043557</c:v>
                </c:pt>
                <c:pt idx="258">
                  <c:v>5.2423003637965415</c:v>
                </c:pt>
                <c:pt idx="259">
                  <c:v>5.232359153428388</c:v>
                </c:pt>
                <c:pt idx="260">
                  <c:v>5.2224645079101109</c:v>
                </c:pt>
                <c:pt idx="261">
                  <c:v>5.212616086189727</c:v>
                </c:pt>
                <c:pt idx="262">
                  <c:v>5.2028135506097399</c:v>
                </c:pt>
                <c:pt idx="263">
                  <c:v>5.1930565668645263</c:v>
                </c:pt>
                <c:pt idx="264">
                  <c:v>5.1833448039582661</c:v>
                </c:pt>
                <c:pt idx="265">
                  <c:v>5.1736779341636518</c:v>
                </c:pt>
                <c:pt idx="266">
                  <c:v>5.1640556329810918</c:v>
                </c:pt>
                <c:pt idx="267">
                  <c:v>5.1544775790985664</c:v>
                </c:pt>
                <c:pt idx="268">
                  <c:v>5.1449434543521413</c:v>
                </c:pt>
                <c:pt idx="269">
                  <c:v>5.1354529436869933</c:v>
                </c:pt>
                <c:pt idx="270">
                  <c:v>5.1260057351190582</c:v>
                </c:pt>
                <c:pt idx="271">
                  <c:v>5.1166015196972605</c:v>
                </c:pt>
                <c:pt idx="272">
                  <c:v>5.1072399914662672</c:v>
                </c:pt>
                <c:pt idx="273">
                  <c:v>5.0979208474298323</c:v>
                </c:pt>
                <c:pt idx="274">
                  <c:v>5.0886437875146191</c:v>
                </c:pt>
                <c:pt idx="275">
                  <c:v>5.0794085145346726</c:v>
                </c:pt>
                <c:pt idx="276">
                  <c:v>5.0702147341562922</c:v>
                </c:pt>
                <c:pt idx="277">
                  <c:v>5.0610621548634578</c:v>
                </c:pt>
                <c:pt idx="278">
                  <c:v>5.0519504879238246</c:v>
                </c:pt>
                <c:pt idx="279">
                  <c:v>5.0428794473551184</c:v>
                </c:pt>
                <c:pt idx="280">
                  <c:v>5.0338487498920577</c:v>
                </c:pt>
                <c:pt idx="281">
                  <c:v>5.024858114953819</c:v>
                </c:pt>
                <c:pt idx="282">
                  <c:v>5.015907264611843</c:v>
                </c:pt>
                <c:pt idx="283">
                  <c:v>5.0069959235582262</c:v>
                </c:pt>
                <c:pt idx="284">
                  <c:v>4.9981238190745092</c:v>
                </c:pt>
                <c:pt idx="285">
                  <c:v>4.9892906810009094</c:v>
                </c:pt>
                <c:pt idx="286">
                  <c:v>4.9804962417060308</c:v>
                </c:pt>
                <c:pt idx="287">
                  <c:v>4.9717402360569825</c:v>
                </c:pt>
                <c:pt idx="288">
                  <c:v>4.9630224013898996</c:v>
                </c:pt>
                <c:pt idx="289">
                  <c:v>4.9543424774809397</c:v>
                </c:pt>
                <c:pt idx="290">
                  <c:v>4.9457002065176656</c:v>
                </c:pt>
                <c:pt idx="291">
                  <c:v>4.9370953330707961</c:v>
                </c:pt>
                <c:pt idx="292">
                  <c:v>4.9285276040664288</c:v>
                </c:pt>
                <c:pt idx="293">
                  <c:v>4.9199967687585664</c:v>
                </c:pt>
                <c:pt idx="294">
                  <c:v>4.9115025787021329</c:v>
                </c:pt>
                <c:pt idx="295">
                  <c:v>4.9030447877262722</c:v>
                </c:pt>
                <c:pt idx="296">
                  <c:v>4.8946231519080721</c:v>
                </c:pt>
                <c:pt idx="297">
                  <c:v>4.8862374295466369</c:v>
                </c:pt>
                <c:pt idx="298">
                  <c:v>4.8778873811375574</c:v>
                </c:pt>
                <c:pt idx="299">
                  <c:v>4.8695727693476334</c:v>
                </c:pt>
                <c:pt idx="300">
                  <c:v>4.8612933589901086</c:v>
                </c:pt>
                <c:pt idx="301">
                  <c:v>4.8530489170001063</c:v>
                </c:pt>
                <c:pt idx="302">
                  <c:v>4.8448392124104283</c:v>
                </c:pt>
                <c:pt idx="303">
                  <c:v>4.8366640163277808</c:v>
                </c:pt>
              </c:numCache>
            </c:numRef>
          </c:xVal>
          <c:yVal>
            <c:numRef>
              <c:f>'OF4.5 - Recordbreaker'!$D$15:$D$318</c:f>
              <c:numCache>
                <c:formatCode>0.00</c:formatCode>
                <c:ptCount val="304"/>
                <c:pt idx="0">
                  <c:v>187.99829128084784</c:v>
                </c:pt>
                <c:pt idx="1">
                  <c:v>188.1245562095464</c:v>
                </c:pt>
                <c:pt idx="2">
                  <c:v>188.24824522014575</c:v>
                </c:pt>
                <c:pt idx="3">
                  <c:v>188.36942199572559</c:v>
                </c:pt>
                <c:pt idx="4">
                  <c:v>188.48814817874171</c:v>
                </c:pt>
                <c:pt idx="5">
                  <c:v>188.60448345191696</c:v>
                </c:pt>
                <c:pt idx="6">
                  <c:v>188.71848561531084</c:v>
                </c:pt>
                <c:pt idx="7">
                  <c:v>188.83021065977721</c:v>
                </c:pt>
                <c:pt idx="8">
                  <c:v>188.93971283700589</c:v>
                </c:pt>
                <c:pt idx="9">
                  <c:v>189.04704472633327</c:v>
                </c:pt>
                <c:pt idx="10">
                  <c:v>189.15225729849345</c:v>
                </c:pt>
                <c:pt idx="11">
                  <c:v>189.25539997647383</c:v>
                </c:pt>
                <c:pt idx="12">
                  <c:v>189.35652069362649</c:v>
                </c:pt>
                <c:pt idx="13">
                  <c:v>189.45566594917932</c:v>
                </c:pt>
                <c:pt idx="14">
                  <c:v>189.55288086128226</c:v>
                </c:pt>
                <c:pt idx="15">
                  <c:v>189.64820921771479</c:v>
                </c:pt>
                <c:pt idx="16">
                  <c:v>189.74169352437471</c:v>
                </c:pt>
                <c:pt idx="17">
                  <c:v>189.83337505166091</c:v>
                </c:pt>
                <c:pt idx="18">
                  <c:v>189.92329387885599</c:v>
                </c:pt>
                <c:pt idx="19">
                  <c:v>190.0114889366088</c:v>
                </c:pt>
                <c:pt idx="20">
                  <c:v>190.09799804761118</c:v>
                </c:pt>
                <c:pt idx="21">
                  <c:v>190.18285796555827</c:v>
                </c:pt>
                <c:pt idx="22">
                  <c:v>190.26610441247621</c:v>
                </c:pt>
                <c:pt idx="23">
                  <c:v>190.347772114496</c:v>
                </c:pt>
                <c:pt idx="24">
                  <c:v>190.42789483615002</c:v>
                </c:pt>
                <c:pt idx="25">
                  <c:v>190.50650541326041</c:v>
                </c:pt>
                <c:pt idx="26">
                  <c:v>190.58363578448711</c:v>
                </c:pt>
                <c:pt idx="27">
                  <c:v>190.65931702159907</c:v>
                </c:pt>
                <c:pt idx="28">
                  <c:v>190.73357935852815</c:v>
                </c:pt>
                <c:pt idx="29">
                  <c:v>190.80645221926298</c:v>
                </c:pt>
                <c:pt idx="30">
                  <c:v>190.87796424463593</c:v>
                </c:pt>
                <c:pt idx="31">
                  <c:v>190.94814331805466</c:v>
                </c:pt>
                <c:pt idx="32">
                  <c:v>191.01701659022615</c:v>
                </c:pt>
                <c:pt idx="33">
                  <c:v>191.08461050291956</c:v>
                </c:pt>
                <c:pt idx="34">
                  <c:v>191.15095081180991</c:v>
                </c:pt>
                <c:pt idx="35">
                  <c:v>191.2160626084459</c:v>
                </c:pt>
                <c:pt idx="36">
                  <c:v>191.27997034137871</c:v>
                </c:pt>
                <c:pt idx="37">
                  <c:v>191.34269783649052</c:v>
                </c:pt>
                <c:pt idx="38">
                  <c:v>191.40426831655711</c:v>
                </c:pt>
                <c:pt idx="39">
                  <c:v>191.46470442007822</c:v>
                </c:pt>
                <c:pt idx="40">
                  <c:v>191.52402821940774</c:v>
                </c:pt>
                <c:pt idx="41">
                  <c:v>191.58226123821314</c:v>
                </c:pt>
                <c:pt idx="42">
                  <c:v>191.63942446829404</c:v>
                </c:pt>
                <c:pt idx="43">
                  <c:v>191.69553838578639</c:v>
                </c:pt>
                <c:pt idx="44">
                  <c:v>191.75062296677871</c:v>
                </c:pt>
                <c:pt idx="45">
                  <c:v>191.80469770236465</c:v>
                </c:pt>
                <c:pt idx="46">
                  <c:v>191.85778161315616</c:v>
                </c:pt>
                <c:pt idx="47">
                  <c:v>191.90989326327937</c:v>
                </c:pt>
                <c:pt idx="48">
                  <c:v>191.96105077387426</c:v>
                </c:pt>
                <c:pt idx="49">
                  <c:v>192.01127183611899</c:v>
                </c:pt>
                <c:pt idx="50">
                  <c:v>192.06057372379834</c:v>
                </c:pt>
                <c:pt idx="51">
                  <c:v>192.10897330543409</c:v>
                </c:pt>
                <c:pt idx="52">
                  <c:v>192.15648705599619</c:v>
                </c:pt>
                <c:pt idx="53">
                  <c:v>192.20313106821047</c:v>
                </c:pt>
                <c:pt idx="54">
                  <c:v>192.24892106347917</c:v>
                </c:pt>
                <c:pt idx="55">
                  <c:v>192.29387240243085</c:v>
                </c:pt>
                <c:pt idx="56">
                  <c:v>192.33800009511236</c:v>
                </c:pt>
                <c:pt idx="57">
                  <c:v>192.38131881083862</c:v>
                </c:pt>
                <c:pt idx="58">
                  <c:v>192.42384288771262</c:v>
                </c:pt>
                <c:pt idx="59">
                  <c:v>192.46558634182861</c:v>
                </c:pt>
                <c:pt idx="60">
                  <c:v>192.50656287617119</c:v>
                </c:pt>
                <c:pt idx="61">
                  <c:v>192.54678588922118</c:v>
                </c:pt>
                <c:pt idx="62">
                  <c:v>192.58626848328007</c:v>
                </c:pt>
                <c:pt idx="63">
                  <c:v>192.62502347252354</c:v>
                </c:pt>
                <c:pt idx="64">
                  <c:v>192.66306339079438</c:v>
                </c:pt>
                <c:pt idx="65">
                  <c:v>192.70040049914419</c:v>
                </c:pt>
                <c:pt idx="66">
                  <c:v>192.73704679313377</c:v>
                </c:pt>
                <c:pt idx="67">
                  <c:v>192.77301400990106</c:v>
                </c:pt>
                <c:pt idx="68">
                  <c:v>192.80831363500499</c:v>
                </c:pt>
                <c:pt idx="69">
                  <c:v>192.8429569090533</c:v>
                </c:pt>
                <c:pt idx="70">
                  <c:v>192.87695483412321</c:v>
                </c:pt>
                <c:pt idx="71">
                  <c:v>192.91031817998103</c:v>
                </c:pt>
                <c:pt idx="72">
                  <c:v>192.94305749010945</c:v>
                </c:pt>
                <c:pt idx="73">
                  <c:v>192.97518308754826</c:v>
                </c:pt>
                <c:pt idx="74">
                  <c:v>193.00670508055578</c:v>
                </c:pt>
                <c:pt idx="75">
                  <c:v>193.03763336809749</c:v>
                </c:pt>
                <c:pt idx="76">
                  <c:v>193.06797764516728</c:v>
                </c:pt>
                <c:pt idx="77">
                  <c:v>193.09774740794842</c:v>
                </c:pt>
                <c:pt idx="78">
                  <c:v>193.12695195881832</c:v>
                </c:pt>
                <c:pt idx="79">
                  <c:v>193.1556004112042</c:v>
                </c:pt>
                <c:pt idx="80">
                  <c:v>193.18370169429363</c:v>
                </c:pt>
                <c:pt idx="81">
                  <c:v>193.21126455760501</c:v>
                </c:pt>
                <c:pt idx="82">
                  <c:v>193.23829757542396</c:v>
                </c:pt>
                <c:pt idx="83">
                  <c:v>193.26480915110884</c:v>
                </c:pt>
                <c:pt idx="84">
                  <c:v>193.29080752127055</c:v>
                </c:pt>
                <c:pt idx="85">
                  <c:v>193.31630075983102</c:v>
                </c:pt>
                <c:pt idx="86">
                  <c:v>193.34129678196354</c:v>
                </c:pt>
                <c:pt idx="87">
                  <c:v>193.36580334792046</c:v>
                </c:pt>
                <c:pt idx="88">
                  <c:v>193.38982806675034</c:v>
                </c:pt>
                <c:pt idx="89">
                  <c:v>193.41337839990976</c:v>
                </c:pt>
                <c:pt idx="90">
                  <c:v>193.43646166477185</c:v>
                </c:pt>
                <c:pt idx="91">
                  <c:v>193.45908503803602</c:v>
                </c:pt>
                <c:pt idx="92">
                  <c:v>193.48125555904181</c:v>
                </c:pt>
                <c:pt idx="93">
                  <c:v>193.50298013298959</c:v>
                </c:pt>
                <c:pt idx="94">
                  <c:v>193.52426553407184</c:v>
                </c:pt>
                <c:pt idx="95">
                  <c:v>193.5451184085172</c:v>
                </c:pt>
                <c:pt idx="96">
                  <c:v>193.56554527755074</c:v>
                </c:pt>
                <c:pt idx="97">
                  <c:v>193.58555254027254</c:v>
                </c:pt>
                <c:pt idx="98">
                  <c:v>193.60514647645766</c:v>
                </c:pt>
                <c:pt idx="99">
                  <c:v>193.62433324927974</c:v>
                </c:pt>
                <c:pt idx="100">
                  <c:v>193.64311890796074</c:v>
                </c:pt>
                <c:pt idx="101">
                  <c:v>193.66150939034904</c:v>
                </c:pt>
                <c:pt idx="102">
                  <c:v>193.6795105254283</c:v>
                </c:pt>
                <c:pt idx="103">
                  <c:v>193.69712803575911</c:v>
                </c:pt>
                <c:pt idx="104">
                  <c:v>193.71436753985546</c:v>
                </c:pt>
                <c:pt idx="105">
                  <c:v>193.73123455449854</c:v>
                </c:pt>
                <c:pt idx="106">
                  <c:v>193.74773449698881</c:v>
                </c:pt>
                <c:pt idx="107">
                  <c:v>193.76387268733936</c:v>
                </c:pt>
                <c:pt idx="108">
                  <c:v>193.77965435041148</c:v>
                </c:pt>
                <c:pt idx="109">
                  <c:v>193.79508461799475</c:v>
                </c:pt>
                <c:pt idx="110">
                  <c:v>193.81016853083295</c:v>
                </c:pt>
                <c:pt idx="111">
                  <c:v>193.8249110405977</c:v>
                </c:pt>
                <c:pt idx="112">
                  <c:v>193.83931701181115</c:v>
                </c:pt>
                <c:pt idx="113">
                  <c:v>193.8533912237196</c:v>
                </c:pt>
                <c:pt idx="114">
                  <c:v>193.86713837211903</c:v>
                </c:pt>
                <c:pt idx="115">
                  <c:v>193.88056307113425</c:v>
                </c:pt>
                <c:pt idx="116">
                  <c:v>193.89366985495317</c:v>
                </c:pt>
                <c:pt idx="117">
                  <c:v>193.90646317951743</c:v>
                </c:pt>
                <c:pt idx="118">
                  <c:v>193.91894742416994</c:v>
                </c:pt>
                <c:pt idx="119">
                  <c:v>193.93112689326199</c:v>
                </c:pt>
                <c:pt idx="120">
                  <c:v>193.94300581772004</c:v>
                </c:pt>
                <c:pt idx="121">
                  <c:v>193.95458835657328</c:v>
                </c:pt>
                <c:pt idx="122">
                  <c:v>193.96587859844425</c:v>
                </c:pt>
                <c:pt idx="123">
                  <c:v>193.97688056300188</c:v>
                </c:pt>
                <c:pt idx="124">
                  <c:v>193.98759820237979</c:v>
                </c:pt>
                <c:pt idx="125">
                  <c:v>193.99803540255905</c:v>
                </c:pt>
                <c:pt idx="126">
                  <c:v>194.00819598471838</c:v>
                </c:pt>
                <c:pt idx="127">
                  <c:v>194.01808370655058</c:v>
                </c:pt>
                <c:pt idx="128">
                  <c:v>194.02770226354809</c:v>
                </c:pt>
                <c:pt idx="129">
                  <c:v>194.03705529025711</c:v>
                </c:pt>
                <c:pt idx="130">
                  <c:v>194.04614636150205</c:v>
                </c:pt>
                <c:pt idx="131">
                  <c:v>194.05497899358051</c:v>
                </c:pt>
                <c:pt idx="132">
                  <c:v>194.06355664543003</c:v>
                </c:pt>
                <c:pt idx="133">
                  <c:v>194.07188271976747</c:v>
                </c:pt>
                <c:pt idx="134">
                  <c:v>194.07996056420103</c:v>
                </c:pt>
                <c:pt idx="135">
                  <c:v>194.08779347231652</c:v>
                </c:pt>
                <c:pt idx="136">
                  <c:v>194.09538468473835</c:v>
                </c:pt>
                <c:pt idx="137">
                  <c:v>194.10273739016534</c:v>
                </c:pt>
                <c:pt idx="138">
                  <c:v>194.10985472638325</c:v>
                </c:pt>
                <c:pt idx="139">
                  <c:v>194.11673978125273</c:v>
                </c:pt>
                <c:pt idx="140">
                  <c:v>194.12339559367595</c:v>
                </c:pt>
                <c:pt idx="141">
                  <c:v>194.12982515453984</c:v>
                </c:pt>
                <c:pt idx="142">
                  <c:v>194.1360314076386</c:v>
                </c:pt>
                <c:pt idx="143">
                  <c:v>194.14201725057453</c:v>
                </c:pt>
                <c:pt idx="144">
                  <c:v>194.14778553563906</c:v>
                </c:pt>
                <c:pt idx="145">
                  <c:v>194.15333907067338</c:v>
                </c:pt>
                <c:pt idx="146">
                  <c:v>194.15868061990994</c:v>
                </c:pt>
                <c:pt idx="147">
                  <c:v>194.16381290479501</c:v>
                </c:pt>
                <c:pt idx="148">
                  <c:v>194.16873860479282</c:v>
                </c:pt>
                <c:pt idx="149">
                  <c:v>194.17346035817167</c:v>
                </c:pt>
                <c:pt idx="150">
                  <c:v>194.17798076277305</c:v>
                </c:pt>
                <c:pt idx="151">
                  <c:v>194.18230237676318</c:v>
                </c:pt>
                <c:pt idx="152">
                  <c:v>194.18642771936817</c:v>
                </c:pt>
                <c:pt idx="153">
                  <c:v>194.19035927159334</c:v>
                </c:pt>
                <c:pt idx="154">
                  <c:v>194.19409947692645</c:v>
                </c:pt>
                <c:pt idx="155">
                  <c:v>194.1976507420257</c:v>
                </c:pt>
                <c:pt idx="156">
                  <c:v>194.20101543739281</c:v>
                </c:pt>
                <c:pt idx="157">
                  <c:v>194.20419589803151</c:v>
                </c:pt>
                <c:pt idx="158">
                  <c:v>194.20719442409188</c:v>
                </c:pt>
                <c:pt idx="159">
                  <c:v>194.21001328150078</c:v>
                </c:pt>
                <c:pt idx="160">
                  <c:v>194.21265470257856</c:v>
                </c:pt>
                <c:pt idx="161">
                  <c:v>194.23248655008027</c:v>
                </c:pt>
                <c:pt idx="162">
                  <c:v>194.21512088664329</c:v>
                </c:pt>
                <c:pt idx="163">
                  <c:v>194.21741400060122</c:v>
                </c:pt>
                <c:pt idx="164">
                  <c:v>194.21953617952545</c:v>
                </c:pt>
                <c:pt idx="165">
                  <c:v>194.22148952722205</c:v>
                </c:pt>
                <c:pt idx="166">
                  <c:v>194.22327611678404</c:v>
                </c:pt>
                <c:pt idx="167">
                  <c:v>194.2248979911345</c:v>
                </c:pt>
                <c:pt idx="168">
                  <c:v>194.22635716355742</c:v>
                </c:pt>
                <c:pt idx="169">
                  <c:v>194.22765561821811</c:v>
                </c:pt>
                <c:pt idx="170">
                  <c:v>194.2287953106725</c:v>
                </c:pt>
                <c:pt idx="171">
                  <c:v>194.22977816836601</c:v>
                </c:pt>
                <c:pt idx="172">
                  <c:v>194.23060609112207</c:v>
                </c:pt>
                <c:pt idx="173">
                  <c:v>194.2312809516207</c:v>
                </c:pt>
                <c:pt idx="174">
                  <c:v>194.23180459586703</c:v>
                </c:pt>
                <c:pt idx="175">
                  <c:v>194.2321788436507</c:v>
                </c:pt>
                <c:pt idx="176">
                  <c:v>194.23240548899531</c:v>
                </c:pt>
                <c:pt idx="177">
                  <c:v>194.23248630059933</c:v>
                </c:pt>
                <c:pt idx="178">
                  <c:v>194.23242302226765</c:v>
                </c:pt>
                <c:pt idx="179">
                  <c:v>194.23221737333461</c:v>
                </c:pt>
                <c:pt idx="180">
                  <c:v>194.23187104907862</c:v>
                </c:pt>
                <c:pt idx="181">
                  <c:v>194.23138572112833</c:v>
                </c:pt>
                <c:pt idx="182">
                  <c:v>194.23076303786061</c:v>
                </c:pt>
                <c:pt idx="183">
                  <c:v>194.23000462479104</c:v>
                </c:pt>
                <c:pt idx="184">
                  <c:v>194.22911208495591</c:v>
                </c:pt>
                <c:pt idx="185">
                  <c:v>194.22808699928748</c:v>
                </c:pt>
                <c:pt idx="186">
                  <c:v>194.22693092698117</c:v>
                </c:pt>
                <c:pt idx="187">
                  <c:v>194.22564540585608</c:v>
                </c:pt>
                <c:pt idx="188">
                  <c:v>194.22423195270801</c:v>
                </c:pt>
                <c:pt idx="189">
                  <c:v>194.22269206365564</c:v>
                </c:pt>
                <c:pt idx="190">
                  <c:v>194.22102721448067</c:v>
                </c:pt>
                <c:pt idx="191">
                  <c:v>194.21923886095993</c:v>
                </c:pt>
                <c:pt idx="192">
                  <c:v>194.21732843919261</c:v>
                </c:pt>
                <c:pt idx="193">
                  <c:v>194.21529736592024</c:v>
                </c:pt>
                <c:pt idx="194">
                  <c:v>194.21314703884062</c:v>
                </c:pt>
                <c:pt idx="195">
                  <c:v>194.21087883691615</c:v>
                </c:pt>
                <c:pt idx="196">
                  <c:v>194.20849412067582</c:v>
                </c:pt>
                <c:pt idx="197">
                  <c:v>194.20599423251176</c:v>
                </c:pt>
                <c:pt idx="198">
                  <c:v>194.20338049696963</c:v>
                </c:pt>
                <c:pt idx="199">
                  <c:v>194.2006542210346</c:v>
                </c:pt>
                <c:pt idx="200">
                  <c:v>194.19781669441039</c:v>
                </c:pt>
                <c:pt idx="201">
                  <c:v>194.1948691897947</c:v>
                </c:pt>
                <c:pt idx="202">
                  <c:v>194.1918129631481</c:v>
                </c:pt>
                <c:pt idx="203">
                  <c:v>194.18864925395872</c:v>
                </c:pt>
                <c:pt idx="204">
                  <c:v>194.18537928550157</c:v>
                </c:pt>
                <c:pt idx="205">
                  <c:v>194.18200426509355</c:v>
                </c:pt>
                <c:pt idx="206">
                  <c:v>194.17852538434298</c:v>
                </c:pt>
                <c:pt idx="207">
                  <c:v>194.17494381939511</c:v>
                </c:pt>
                <c:pt idx="208">
                  <c:v>194.17126073117308</c:v>
                </c:pt>
                <c:pt idx="209">
                  <c:v>194.16747726561397</c:v>
                </c:pt>
                <c:pt idx="210">
                  <c:v>194.16359455390113</c:v>
                </c:pt>
                <c:pt idx="211">
                  <c:v>194.15961371269188</c:v>
                </c:pt>
                <c:pt idx="212">
                  <c:v>194.15553584434107</c:v>
                </c:pt>
                <c:pt idx="213">
                  <c:v>194.15136203712086</c:v>
                </c:pt>
                <c:pt idx="214">
                  <c:v>194.14709336543621</c:v>
                </c:pt>
                <c:pt idx="215">
                  <c:v>194.14273089003672</c:v>
                </c:pt>
                <c:pt idx="216">
                  <c:v>194.13827565822433</c:v>
                </c:pt>
                <c:pt idx="217">
                  <c:v>194.1337287040576</c:v>
                </c:pt>
                <c:pt idx="218">
                  <c:v>194.12909104855251</c:v>
                </c:pt>
                <c:pt idx="219">
                  <c:v>194.12436369987884</c:v>
                </c:pt>
                <c:pt idx="220">
                  <c:v>194.11954765355421</c:v>
                </c:pt>
                <c:pt idx="221">
                  <c:v>194.1146438926335</c:v>
                </c:pt>
                <c:pt idx="222">
                  <c:v>194.10965338789597</c:v>
                </c:pt>
                <c:pt idx="223">
                  <c:v>194.1045770980283</c:v>
                </c:pt>
                <c:pt idx="224">
                  <c:v>194.09941596980488</c:v>
                </c:pt>
                <c:pt idx="225">
                  <c:v>194.09417093826465</c:v>
                </c:pt>
                <c:pt idx="226">
                  <c:v>194.08884292688495</c:v>
                </c:pt>
                <c:pt idx="227">
                  <c:v>194.08343284775253</c:v>
                </c:pt>
                <c:pt idx="228">
                  <c:v>194.07794160173117</c:v>
                </c:pt>
                <c:pt idx="229">
                  <c:v>194.07237007862656</c:v>
                </c:pt>
                <c:pt idx="230">
                  <c:v>194.06671915734879</c:v>
                </c:pt>
                <c:pt idx="231">
                  <c:v>194.06098970607113</c:v>
                </c:pt>
                <c:pt idx="232">
                  <c:v>194.05518258238686</c:v>
                </c:pt>
                <c:pt idx="233">
                  <c:v>194.049298633463</c:v>
                </c:pt>
                <c:pt idx="234">
                  <c:v>194.04333869619174</c:v>
                </c:pt>
                <c:pt idx="235">
                  <c:v>194.03730359733865</c:v>
                </c:pt>
                <c:pt idx="236">
                  <c:v>194.03119415368917</c:v>
                </c:pt>
                <c:pt idx="237">
                  <c:v>194.02501117219214</c:v>
                </c:pt>
                <c:pt idx="238">
                  <c:v>194.01875545010071</c:v>
                </c:pt>
                <c:pt idx="239">
                  <c:v>194.01242777511163</c:v>
                </c:pt>
                <c:pt idx="240">
                  <c:v>194.00602892550123</c:v>
                </c:pt>
                <c:pt idx="241">
                  <c:v>193.99955967025991</c:v>
                </c:pt>
                <c:pt idx="242">
                  <c:v>193.99302076922388</c:v>
                </c:pt>
                <c:pt idx="243">
                  <c:v>193.98641297320495</c:v>
                </c:pt>
                <c:pt idx="244">
                  <c:v>193.97973702411815</c:v>
                </c:pt>
                <c:pt idx="245">
                  <c:v>193.97299365510693</c:v>
                </c:pt>
                <c:pt idx="246">
                  <c:v>193.96618359066673</c:v>
                </c:pt>
                <c:pt idx="247">
                  <c:v>193.95930754676627</c:v>
                </c:pt>
                <c:pt idx="248">
                  <c:v>193.95236623096665</c:v>
                </c:pt>
                <c:pt idx="249">
                  <c:v>193.94536034253898</c:v>
                </c:pt>
                <c:pt idx="250">
                  <c:v>193.93829057257958</c:v>
                </c:pt>
                <c:pt idx="251">
                  <c:v>193.93115760412365</c:v>
                </c:pt>
                <c:pt idx="252">
                  <c:v>193.92396211225682</c:v>
                </c:pt>
                <c:pt idx="253">
                  <c:v>193.91670476422507</c:v>
                </c:pt>
                <c:pt idx="254">
                  <c:v>193.90938621954285</c:v>
                </c:pt>
                <c:pt idx="255">
                  <c:v>193.90200713009929</c:v>
                </c:pt>
                <c:pt idx="256">
                  <c:v>193.89456814026286</c:v>
                </c:pt>
                <c:pt idx="257">
                  <c:v>193.88706988698436</c:v>
                </c:pt>
                <c:pt idx="258">
                  <c:v>193.87951299989803</c:v>
                </c:pt>
                <c:pt idx="259">
                  <c:v>193.87189810142118</c:v>
                </c:pt>
                <c:pt idx="260">
                  <c:v>193.86422580685246</c:v>
                </c:pt>
                <c:pt idx="261">
                  <c:v>193.85649672446814</c:v>
                </c:pt>
                <c:pt idx="262">
                  <c:v>193.84871145561701</c:v>
                </c:pt>
                <c:pt idx="263">
                  <c:v>193.84087059481399</c:v>
                </c:pt>
                <c:pt idx="264">
                  <c:v>193.83297472983188</c:v>
                </c:pt>
                <c:pt idx="265">
                  <c:v>193.82502444179212</c:v>
                </c:pt>
                <c:pt idx="266">
                  <c:v>193.81702030525364</c:v>
                </c:pt>
                <c:pt idx="267">
                  <c:v>193.80896288830053</c:v>
                </c:pt>
                <c:pt idx="268">
                  <c:v>193.80085275262849</c:v>
                </c:pt>
                <c:pt idx="269">
                  <c:v>193.79269045362975</c:v>
                </c:pt>
                <c:pt idx="270">
                  <c:v>193.78447654047648</c:v>
                </c:pt>
                <c:pt idx="271">
                  <c:v>193.77621155620344</c:v>
                </c:pt>
                <c:pt idx="272">
                  <c:v>193.76789603778877</c:v>
                </c:pt>
                <c:pt idx="273">
                  <c:v>193.75953051623381</c:v>
                </c:pt>
                <c:pt idx="274">
                  <c:v>193.75111551664179</c:v>
                </c:pt>
                <c:pt idx="275">
                  <c:v>193.74265155829494</c:v>
                </c:pt>
                <c:pt idx="276">
                  <c:v>193.73413915473103</c:v>
                </c:pt>
                <c:pt idx="277">
                  <c:v>193.72557881381778</c:v>
                </c:pt>
                <c:pt idx="278">
                  <c:v>193.71697103782725</c:v>
                </c:pt>
                <c:pt idx="279">
                  <c:v>193.70831632350823</c:v>
                </c:pt>
                <c:pt idx="280">
                  <c:v>193.69961516215787</c:v>
                </c:pt>
                <c:pt idx="281">
                  <c:v>193.6908680396923</c:v>
                </c:pt>
                <c:pt idx="282">
                  <c:v>193.68207543671605</c:v>
                </c:pt>
                <c:pt idx="283">
                  <c:v>193.67323782859032</c:v>
                </c:pt>
                <c:pt idx="284">
                  <c:v>193.66435568550042</c:v>
                </c:pt>
                <c:pt idx="285">
                  <c:v>193.65542947252209</c:v>
                </c:pt>
                <c:pt idx="286">
                  <c:v>193.64645964968702</c:v>
                </c:pt>
                <c:pt idx="287">
                  <c:v>193.63744667204693</c:v>
                </c:pt>
                <c:pt idx="288">
                  <c:v>193.62839098973706</c:v>
                </c:pt>
                <c:pt idx="289">
                  <c:v>193.61929304803888</c:v>
                </c:pt>
                <c:pt idx="290">
                  <c:v>193.61015328744131</c:v>
                </c:pt>
                <c:pt idx="291">
                  <c:v>193.60097214370134</c:v>
                </c:pt>
                <c:pt idx="292">
                  <c:v>193.59175004790413</c:v>
                </c:pt>
                <c:pt idx="293">
                  <c:v>193.58248742652128</c:v>
                </c:pt>
                <c:pt idx="294">
                  <c:v>193.57318470146919</c:v>
                </c:pt>
                <c:pt idx="295">
                  <c:v>193.56384229016629</c:v>
                </c:pt>
                <c:pt idx="296">
                  <c:v>193.55446060558873</c:v>
                </c:pt>
                <c:pt idx="297">
                  <c:v>193.54504005632649</c:v>
                </c:pt>
                <c:pt idx="298">
                  <c:v>193.53558104663765</c:v>
                </c:pt>
                <c:pt idx="299">
                  <c:v>193.52608397650229</c:v>
                </c:pt>
                <c:pt idx="300">
                  <c:v>193.51654924167556</c:v>
                </c:pt>
                <c:pt idx="301">
                  <c:v>193.50697723374009</c:v>
                </c:pt>
                <c:pt idx="302">
                  <c:v>193.49736834015741</c:v>
                </c:pt>
                <c:pt idx="303">
                  <c:v>193.48772294431868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4-4DAC-9DE9-A7A66627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6680"/>
        <c:axId val="301996056"/>
      </c:scatterChart>
      <c:valAx>
        <c:axId val="36064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96056"/>
        <c:crosses val="autoZero"/>
        <c:crossBetween val="midCat"/>
      </c:valAx>
      <c:valAx>
        <c:axId val="3019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4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18"/>
  <sheetViews>
    <sheetView topLeftCell="A15" workbookViewId="0">
      <selection activeCell="H10" sqref="H10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11" max="11" width="22.69140625" customWidth="1"/>
    <col min="14" max="14" width="9.07421875" customWidth="1"/>
  </cols>
  <sheetData>
    <row r="1" spans="1:14" x14ac:dyDescent="0.4">
      <c r="A1" t="s">
        <v>0</v>
      </c>
      <c r="B1" s="13">
        <f>CONVERT(23000, "ft", "m")</f>
        <v>7010.4</v>
      </c>
      <c r="C1" t="str">
        <f>"---&gt;"</f>
        <v>---&gt;</v>
      </c>
      <c r="D1" s="1" t="s">
        <v>1</v>
      </c>
      <c r="E1" s="4">
        <f>SQRT(2*9.81*(B1-500))*1.5</f>
        <v>536.09850587368737</v>
      </c>
    </row>
    <row r="2" spans="1:14" x14ac:dyDescent="0.4">
      <c r="A2" t="s">
        <v>2</v>
      </c>
      <c r="B2" s="13">
        <v>5.4</v>
      </c>
    </row>
    <row r="3" spans="1:14" ht="17.149999999999999" x14ac:dyDescent="0.55000000000000004">
      <c r="A3" t="s">
        <v>3</v>
      </c>
      <c r="B3" s="14">
        <f>CONVERT(350,"psi","Pa")/1000</f>
        <v>2413.165052608927</v>
      </c>
      <c r="D3" t="s">
        <v>4</v>
      </c>
      <c r="E3">
        <v>1311</v>
      </c>
    </row>
    <row r="4" spans="1:14" ht="17.149999999999999" x14ac:dyDescent="0.55000000000000004">
      <c r="A4" s="1" t="s">
        <v>5</v>
      </c>
      <c r="B4" s="13">
        <v>10</v>
      </c>
      <c r="D4" t="s">
        <v>6</v>
      </c>
      <c r="E4" s="4">
        <f>101.325*(1 - 0.0065*E3/288.16)^(-9.81/-0.0065/287)</f>
        <v>86.528880457303998</v>
      </c>
      <c r="F4" s="2" t="s">
        <v>7</v>
      </c>
    </row>
    <row r="5" spans="1:14" ht="17.149999999999999" x14ac:dyDescent="0.55000000000000004">
      <c r="A5" s="1" t="s">
        <v>8</v>
      </c>
      <c r="B5">
        <v>0.9</v>
      </c>
      <c r="D5" s="1" t="s">
        <v>9</v>
      </c>
      <c r="E5" s="4">
        <f>101.325*(1 - 0.0065*2/3*B1/288.16)^(-9.81/-0.0065/287)</f>
        <v>56.401942621880451</v>
      </c>
      <c r="F5" s="2" t="s">
        <v>10</v>
      </c>
    </row>
    <row r="6" spans="1:14" x14ac:dyDescent="0.4">
      <c r="A6" s="1" t="s">
        <v>11</v>
      </c>
      <c r="B6">
        <v>0.9</v>
      </c>
    </row>
    <row r="7" spans="1:14" ht="17.149999999999999" x14ac:dyDescent="0.55000000000000004">
      <c r="A7" s="1" t="s">
        <v>12</v>
      </c>
      <c r="B7">
        <f>19/30</f>
        <v>0.6333333333333333</v>
      </c>
    </row>
    <row r="9" spans="1:14" x14ac:dyDescent="0.4">
      <c r="A9" s="1" t="s">
        <v>13</v>
      </c>
      <c r="B9">
        <v>1.19</v>
      </c>
      <c r="H9" t="s">
        <v>14</v>
      </c>
    </row>
    <row r="10" spans="1:14" x14ac:dyDescent="0.4">
      <c r="A10" s="1" t="s">
        <v>15</v>
      </c>
      <c r="B10">
        <v>24.527999999999999</v>
      </c>
      <c r="C10" t="str">
        <f>"---&gt;"</f>
        <v>---&gt;</v>
      </c>
      <c r="D10" t="s">
        <v>16</v>
      </c>
      <c r="E10">
        <f>8314/B10</f>
        <v>338.95955642530987</v>
      </c>
      <c r="H10" s="4">
        <f>E244</f>
        <v>192.32907204612999</v>
      </c>
      <c r="N10" s="6"/>
    </row>
    <row r="11" spans="1:14" ht="17.149999999999999" x14ac:dyDescent="0.55000000000000004">
      <c r="A11" s="1" t="s">
        <v>17</v>
      </c>
      <c r="B11">
        <v>3100</v>
      </c>
    </row>
    <row r="12" spans="1:14" x14ac:dyDescent="0.4">
      <c r="A12" s="1" t="s">
        <v>18</v>
      </c>
      <c r="B12" s="4">
        <f>B5*SQRT(B9*E10*B11)/B9/(2/(B9 + 1))^((B9 + 1)/(2*B9 - 2))</f>
        <v>1426.8345240214944</v>
      </c>
      <c r="H12" t="s">
        <v>19</v>
      </c>
      <c r="J12" t="s">
        <v>20</v>
      </c>
      <c r="M12" t="s">
        <v>21</v>
      </c>
    </row>
    <row r="13" spans="1:14" ht="17.600000000000001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t="s">
        <v>25</v>
      </c>
      <c r="N13">
        <f>I26*B12/(B3*1000)</f>
        <v>1.2253575891453751E-3</v>
      </c>
    </row>
    <row r="14" spans="1:14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32</v>
      </c>
      <c r="N14">
        <f>N13*C244</f>
        <v>5.7169102157342503E-3</v>
      </c>
    </row>
    <row r="15" spans="1:14" ht="17.149999999999999" x14ac:dyDescent="0.55000000000000004">
      <c r="A15">
        <v>29.5</v>
      </c>
      <c r="B15" s="4">
        <f>SQRT(2/($B$9-1)*((A15/$B$3)^((1-$B$9)/$B$9) - 1))</f>
        <v>3.277071336395633</v>
      </c>
      <c r="C15" s="4">
        <f>1/B15*(2/($B$9+1)*(1 + ($B$9-1)/2*B15^2))^(($B$9+1)/(2*$B$9-2))</f>
        <v>10.409493444728808</v>
      </c>
      <c r="D15" s="4">
        <f t="shared" ref="D15:D78" si="0">$B$6*$B$12/9.81*($B$9*SQRT(2/($B$9-1)*(2/($B$9+1))^(($B$9+1)/($B$9-1))*(1 - (A15/$B$3)^(($B$9-1)/$B$9))) + C15/$B$3*(A15 - $E$5))</f>
        <v>197.68729278296695</v>
      </c>
      <c r="E15" s="4">
        <f t="shared" ref="E15:E78" si="1">$B$6*$B$12/9.81*($B$9*SQRT(2/($B$9-1)*(2/($B$9+1))^(($B$9+1)/($B$9-1))*(1 - (A15/$B$3)^(($B$9-1)/$B$9))) + C15/$B$3*(A15 - $E$4))</f>
        <v>180.6757120230709</v>
      </c>
      <c r="H15" s="1" t="s">
        <v>33</v>
      </c>
      <c r="I15">
        <f>0.5*B3/E10/B11*1^2</f>
        <v>1.1482790863912358E-3</v>
      </c>
      <c r="J15" s="2" t="s">
        <v>34</v>
      </c>
      <c r="M15" s="10" t="s">
        <v>35</v>
      </c>
    </row>
    <row r="16" spans="1:14" ht="17.149999999999999" x14ac:dyDescent="0.55000000000000004">
      <c r="A16">
        <v>29.75</v>
      </c>
      <c r="B16" s="4">
        <f t="shared" ref="B16:B78" si="2">SQRT(2/($B$9-1)*((A16/$B$3)^((1-$B$9)/$B$9) - 1))</f>
        <v>3.2726996595280777</v>
      </c>
      <c r="C16" s="4">
        <f t="shared" ref="C16:C78" si="3">1/B16*(2/($B$9+1)*(1 + ($B$9-1)/2*B16^2))^(($B$9+1)/(2*$B$9-2))</f>
        <v>10.342772365307727</v>
      </c>
      <c r="D16" s="4">
        <f t="shared" si="0"/>
        <v>197.78420739299571</v>
      </c>
      <c r="E16" s="4">
        <f t="shared" si="1"/>
        <v>180.88166469887932</v>
      </c>
      <c r="H16" s="1" t="s">
        <v>36</v>
      </c>
      <c r="I16" s="16">
        <f>B3+I13+I14+I15</f>
        <v>2895.7992114097988</v>
      </c>
      <c r="J16" s="4">
        <f>CONVERT(I16*1000, "Pa", "psi")</f>
        <v>420.00016654380107</v>
      </c>
    </row>
    <row r="17" spans="1:19" x14ac:dyDescent="0.4">
      <c r="A17">
        <v>30</v>
      </c>
      <c r="B17" s="4">
        <f t="shared" si="2"/>
        <v>3.268364616207426</v>
      </c>
      <c r="C17" s="4">
        <f t="shared" si="3"/>
        <v>10.277049891099866</v>
      </c>
      <c r="D17" s="4">
        <f t="shared" si="0"/>
        <v>197.87878020627463</v>
      </c>
      <c r="E17" s="4">
        <f t="shared" si="1"/>
        <v>181.08364362021371</v>
      </c>
    </row>
    <row r="18" spans="1:19" x14ac:dyDescent="0.4">
      <c r="A18">
        <v>30.25</v>
      </c>
      <c r="B18" s="4">
        <f t="shared" si="2"/>
        <v>3.2640655905216245</v>
      </c>
      <c r="C18" s="4">
        <f t="shared" si="3"/>
        <v>10.21230290209227</v>
      </c>
      <c r="D18" s="4">
        <f t="shared" si="0"/>
        <v>197.97107126345506</v>
      </c>
      <c r="E18" s="4">
        <f t="shared" si="1"/>
        <v>181.28174661130922</v>
      </c>
    </row>
    <row r="19" spans="1:19" x14ac:dyDescent="0.4">
      <c r="A19">
        <v>30.5</v>
      </c>
      <c r="B19" s="4">
        <f t="shared" si="2"/>
        <v>3.2598019819280841</v>
      </c>
      <c r="C19" s="4">
        <f t="shared" si="3"/>
        <v>10.148508999391336</v>
      </c>
      <c r="D19" s="4">
        <f t="shared" si="0"/>
        <v>198.06113864644644</v>
      </c>
      <c r="E19" s="4">
        <f t="shared" si="1"/>
        <v>181.47606835917892</v>
      </c>
      <c r="H19" t="s">
        <v>37</v>
      </c>
      <c r="K19" t="s">
        <v>38</v>
      </c>
    </row>
    <row r="20" spans="1:19" ht="17.600000000000001" x14ac:dyDescent="0.55000000000000004">
      <c r="A20">
        <v>30.75</v>
      </c>
      <c r="B20" s="4">
        <f t="shared" si="2"/>
        <v>3.2555732047473813</v>
      </c>
      <c r="C20" s="4">
        <f t="shared" si="3"/>
        <v>10.085646477034452</v>
      </c>
      <c r="D20" s="4">
        <f t="shared" si="0"/>
        <v>198.14903855694925</v>
      </c>
      <c r="E20" s="4">
        <f t="shared" si="1"/>
        <v>181.66670053821363</v>
      </c>
      <c r="H20" t="s">
        <v>39</v>
      </c>
      <c r="I20" s="13">
        <v>30</v>
      </c>
      <c r="K20" t="s">
        <v>40</v>
      </c>
      <c r="L20" s="13">
        <v>700</v>
      </c>
      <c r="M20" s="10" t="s">
        <v>41</v>
      </c>
    </row>
    <row r="21" spans="1:19" ht="17.600000000000001" x14ac:dyDescent="0.55000000000000004">
      <c r="A21">
        <v>31</v>
      </c>
      <c r="B21" s="4">
        <f t="shared" si="2"/>
        <v>3.2513786876776161</v>
      </c>
      <c r="C21" s="4">
        <f t="shared" si="3"/>
        <v>10.023694295122839</v>
      </c>
      <c r="D21" s="4">
        <f t="shared" si="0"/>
        <v>198.23482539124868</v>
      </c>
      <c r="E21" s="4">
        <f t="shared" si="1"/>
        <v>181.85373192888241</v>
      </c>
      <c r="H21" t="s">
        <v>42</v>
      </c>
      <c r="I21" s="4">
        <f>I20*EXP(E1/H10/9.81)</f>
        <v>39.858522802607879</v>
      </c>
      <c r="K21" t="s">
        <v>43</v>
      </c>
      <c r="L21">
        <f>I28/1/L20</f>
        <v>2.4979975545420634E-3</v>
      </c>
      <c r="M21" s="4">
        <f>L21*100^2</f>
        <v>24.979975545420633</v>
      </c>
      <c r="N21" t="s">
        <v>44</v>
      </c>
    </row>
    <row r="22" spans="1:19" ht="17.149999999999999" x14ac:dyDescent="0.55000000000000004">
      <c r="A22">
        <v>31.25</v>
      </c>
      <c r="B22" s="4">
        <f t="shared" si="2"/>
        <v>3.2472178733284083</v>
      </c>
      <c r="C22" s="4">
        <f t="shared" si="3"/>
        <v>9.9626320542027518</v>
      </c>
      <c r="D22" s="4">
        <f t="shared" si="0"/>
        <v>198.3185518114731</v>
      </c>
      <c r="E22" s="4">
        <f t="shared" si="1"/>
        <v>182.03724853085853</v>
      </c>
      <c r="H22" t="s">
        <v>45</v>
      </c>
      <c r="I22" s="7">
        <f>I21-I20</f>
        <v>9.8585228026078795</v>
      </c>
      <c r="K22" t="s">
        <v>46</v>
      </c>
      <c r="L22" s="17">
        <f>2*SQRT(L21/PI())</f>
        <v>5.6396358651021848E-2</v>
      </c>
      <c r="M22" s="4">
        <f>L22*100</f>
        <v>5.6396358651021847</v>
      </c>
      <c r="N22" t="s">
        <v>47</v>
      </c>
      <c r="O22" s="4"/>
    </row>
    <row r="23" spans="1:19" ht="17.149999999999999" x14ac:dyDescent="0.55000000000000004">
      <c r="A23">
        <v>31.5</v>
      </c>
      <c r="B23" s="4">
        <f t="shared" si="2"/>
        <v>3.2430902177736174</v>
      </c>
      <c r="C23" s="4">
        <f t="shared" si="3"/>
        <v>9.9024399708284783</v>
      </c>
      <c r="D23" s="4">
        <f t="shared" si="0"/>
        <v>198.40026881351224</v>
      </c>
      <c r="E23" s="4">
        <f t="shared" si="1"/>
        <v>182.21733367087333</v>
      </c>
      <c r="H23" t="s">
        <v>48</v>
      </c>
      <c r="I23" s="15">
        <f>I22/(1+B2)</f>
        <v>1.5403941879074812</v>
      </c>
      <c r="K23" t="s">
        <v>49</v>
      </c>
      <c r="L23" s="17">
        <f>(I27*PI()^(0.5-1)/(0.155*(4*I26)^0.5*900)*L22^(2*0.5-1))^(1/(2+1))</f>
        <v>7.690590243214919E-2</v>
      </c>
      <c r="M23" s="4">
        <f>L23*100</f>
        <v>7.6905902432149187</v>
      </c>
      <c r="N23" t="s">
        <v>47</v>
      </c>
      <c r="O23" s="18">
        <f>I23/900/(PI()*(O24/2)^2 - L21)</f>
        <v>0.3551772930659437</v>
      </c>
      <c r="P23" s="10" t="s">
        <v>50</v>
      </c>
    </row>
    <row r="24" spans="1:19" ht="17.149999999999999" x14ac:dyDescent="0.55000000000000004">
      <c r="A24">
        <v>31.75</v>
      </c>
      <c r="B24" s="4">
        <f t="shared" si="2"/>
        <v>3.2389951901218592</v>
      </c>
      <c r="C24" s="4">
        <f t="shared" si="3"/>
        <v>9.843098854242962</v>
      </c>
      <c r="D24" s="4">
        <f t="shared" si="0"/>
        <v>198.4800257917754</v>
      </c>
      <c r="E24" s="4">
        <f t="shared" si="1"/>
        <v>182.39406810558404</v>
      </c>
      <c r="H24" t="s">
        <v>51</v>
      </c>
      <c r="I24" s="7">
        <f>I22-I23</f>
        <v>8.3181286147003988</v>
      </c>
      <c r="K24" t="s">
        <v>52</v>
      </c>
      <c r="L24" s="8">
        <f>SQRT(4*I23/PI()/L23/900/1 + L22^2)</f>
        <v>0.17752924193294067</v>
      </c>
      <c r="M24" s="4">
        <f t="shared" ref="M24:M25" si="4">L24*100</f>
        <v>17.752924193294067</v>
      </c>
      <c r="N24" t="s">
        <v>47</v>
      </c>
      <c r="O24" s="19">
        <f>CONVERT(3.8, "in", "m")</f>
        <v>9.6519999999999995E-2</v>
      </c>
    </row>
    <row r="25" spans="1:19" ht="17.149999999999999" x14ac:dyDescent="0.55000000000000004">
      <c r="A25">
        <v>32</v>
      </c>
      <c r="B25" s="4">
        <f t="shared" si="2"/>
        <v>3.2349322721039941</v>
      </c>
      <c r="C25" s="4">
        <f t="shared" si="3"/>
        <v>9.7845900841169726</v>
      </c>
      <c r="D25" s="4">
        <f t="shared" si="0"/>
        <v>198.55787060096031</v>
      </c>
      <c r="E25" s="4">
        <f t="shared" si="1"/>
        <v>182.56753011972179</v>
      </c>
      <c r="H25" t="s">
        <v>53</v>
      </c>
      <c r="I25" s="8">
        <f>I20/I21</f>
        <v>0.75266211315882359</v>
      </c>
      <c r="K25" t="s">
        <v>54</v>
      </c>
      <c r="L25" s="18">
        <f>(L24-L22)/2</f>
        <v>6.0566441640959409E-2</v>
      </c>
      <c r="M25" s="4">
        <f t="shared" si="4"/>
        <v>6.0566441640959408</v>
      </c>
      <c r="N25" t="s">
        <v>47</v>
      </c>
      <c r="O25" s="4"/>
    </row>
    <row r="26" spans="1:19" ht="17.149999999999999" x14ac:dyDescent="0.55000000000000004">
      <c r="A26">
        <v>32.25</v>
      </c>
      <c r="B26" s="4">
        <f t="shared" si="2"/>
        <v>3.2309009576767895</v>
      </c>
      <c r="C26" s="4">
        <f t="shared" si="3"/>
        <v>9.7268955892908728</v>
      </c>
      <c r="D26" s="4">
        <f t="shared" si="0"/>
        <v>198.63384961499207</v>
      </c>
      <c r="E26" s="4">
        <f t="shared" si="1"/>
        <v>182.73779561977202</v>
      </c>
      <c r="H26" t="s">
        <v>55</v>
      </c>
      <c r="I26" s="15">
        <f>B4*I21/H10</f>
        <v>2.0724127859904526</v>
      </c>
      <c r="K26" s="10" t="s">
        <v>56</v>
      </c>
    </row>
    <row r="27" spans="1:19" ht="17.149999999999999" x14ac:dyDescent="0.55000000000000004">
      <c r="A27">
        <v>32.5</v>
      </c>
      <c r="B27" s="4">
        <f t="shared" si="2"/>
        <v>3.2269007526419986</v>
      </c>
      <c r="C27" s="4">
        <f t="shared" si="3"/>
        <v>9.6699978274663518</v>
      </c>
      <c r="D27" s="4">
        <f t="shared" si="0"/>
        <v>198.70800778328294</v>
      </c>
      <c r="E27" s="4">
        <f t="shared" si="1"/>
        <v>182.90493822342225</v>
      </c>
      <c r="H27" t="s">
        <v>57</v>
      </c>
      <c r="I27" s="8">
        <f>I26/(1 + B2)</f>
        <v>0.32381449781100818</v>
      </c>
    </row>
    <row r="28" spans="1:19" ht="17.149999999999999" x14ac:dyDescent="0.55000000000000004">
      <c r="A28">
        <v>32.75</v>
      </c>
      <c r="B28" s="4">
        <f t="shared" si="2"/>
        <v>3.2229311742801401</v>
      </c>
      <c r="C28" s="4">
        <f t="shared" si="3"/>
        <v>9.6138797657989787</v>
      </c>
      <c r="D28" s="4">
        <f t="shared" si="0"/>
        <v>198.7803886844523</v>
      </c>
      <c r="E28" s="4">
        <f t="shared" si="1"/>
        <v>183.0690293449988</v>
      </c>
      <c r="H28" t="s">
        <v>58</v>
      </c>
      <c r="I28" s="7">
        <f>I26-I27</f>
        <v>1.7485982881794444</v>
      </c>
    </row>
    <row r="29" spans="1:19" x14ac:dyDescent="0.4">
      <c r="A29">
        <v>33</v>
      </c>
      <c r="B29" s="4">
        <f t="shared" si="2"/>
        <v>3.2189917509983053</v>
      </c>
      <c r="C29" s="4">
        <f t="shared" si="3"/>
        <v>9.5585248623445995</v>
      </c>
      <c r="D29" s="4">
        <f t="shared" si="0"/>
        <v>198.85103457764168</v>
      </c>
      <c r="E29" s="4">
        <f t="shared" si="1"/>
        <v>183.2301382771027</v>
      </c>
      <c r="S29" s="7"/>
    </row>
    <row r="30" spans="1:19" x14ac:dyDescent="0.4">
      <c r="A30">
        <v>33.25</v>
      </c>
      <c r="B30" s="4">
        <f t="shared" si="2"/>
        <v>3.2150820219913587</v>
      </c>
      <c r="C30" s="4">
        <f t="shared" si="3"/>
        <v>9.5039170483164437</v>
      </c>
      <c r="D30" s="4">
        <f t="shared" si="0"/>
        <v>198.91998645154797</v>
      </c>
      <c r="E30" s="4">
        <f t="shared" si="1"/>
        <v>183.38833226863878</v>
      </c>
      <c r="M30" s="4"/>
      <c r="N30" s="4"/>
    </row>
    <row r="31" spans="1:19" x14ac:dyDescent="0.4">
      <c r="A31">
        <v>33.5</v>
      </c>
      <c r="B31" s="4">
        <f t="shared" si="2"/>
        <v>3.2112015369159179</v>
      </c>
      <c r="C31" s="4">
        <f t="shared" si="3"/>
        <v>9.4500407111113311</v>
      </c>
      <c r="D31" s="4">
        <f t="shared" si="0"/>
        <v>198.98728407129224</v>
      </c>
      <c r="E31" s="4">
        <f t="shared" si="1"/>
        <v>183.54367659942415</v>
      </c>
    </row>
    <row r="32" spans="1:19" x14ac:dyDescent="0.4">
      <c r="A32">
        <v>33.75</v>
      </c>
      <c r="B32" s="4">
        <f t="shared" si="2"/>
        <v>3.2073498555765392</v>
      </c>
      <c r="C32" s="4">
        <f t="shared" si="3"/>
        <v>9.3968806780662</v>
      </c>
      <c r="D32" s="4">
        <f t="shared" si="0"/>
        <v>199.05296602323577</v>
      </c>
      <c r="E32" s="4">
        <f t="shared" si="1"/>
        <v>183.6962346515495</v>
      </c>
    </row>
    <row r="33" spans="1:8" x14ac:dyDescent="0.4">
      <c r="A33">
        <v>34</v>
      </c>
      <c r="B33" s="4">
        <f t="shared" si="2"/>
        <v>3.2035265476235795</v>
      </c>
      <c r="C33" s="4">
        <f t="shared" si="3"/>
        <v>9.3444222009086602</v>
      </c>
      <c r="D33" s="4">
        <f t="shared" si="0"/>
        <v>199.11706975784674</v>
      </c>
      <c r="E33" s="4">
        <f t="shared" si="1"/>
        <v>183.84606797765738</v>
      </c>
    </row>
    <row r="34" spans="1:8" x14ac:dyDescent="0.4">
      <c r="A34">
        <v>34.25</v>
      </c>
      <c r="B34" s="4">
        <f t="shared" si="2"/>
        <v>3.1997311922621945</v>
      </c>
      <c r="C34" s="4">
        <f t="shared" si="3"/>
        <v>9.2926509408667339</v>
      </c>
      <c r="D34" s="4">
        <f t="shared" si="0"/>
        <v>199.17963163071511</v>
      </c>
      <c r="E34" s="4">
        <f t="shared" si="1"/>
        <v>183.99323636629146</v>
      </c>
    </row>
    <row r="35" spans="1:8" x14ac:dyDescent="0.4">
      <c r="A35">
        <v>34.5</v>
      </c>
      <c r="B35" s="4">
        <f t="shared" si="2"/>
        <v>3.1959633779720038</v>
      </c>
      <c r="C35" s="4">
        <f t="shared" si="3"/>
        <v>9.241552954405444</v>
      </c>
      <c r="D35" s="4">
        <f t="shared" si="0"/>
        <v>199.24068694180974</v>
      </c>
      <c r="E35" s="4">
        <f t="shared" si="1"/>
        <v>184.13779790446335</v>
      </c>
      <c r="H35" t="s">
        <v>59</v>
      </c>
    </row>
    <row r="36" spans="1:8" x14ac:dyDescent="0.4">
      <c r="A36">
        <v>34.75</v>
      </c>
      <c r="B36" s="4">
        <f t="shared" si="2"/>
        <v>3.19222270223695</v>
      </c>
      <c r="C36" s="4">
        <f t="shared" si="3"/>
        <v>9.1911146795594636</v>
      </c>
      <c r="D36" s="4">
        <f t="shared" si="0"/>
        <v>199.30026997306376</v>
      </c>
      <c r="E36" s="4">
        <f t="shared" si="1"/>
        <v>184.27980903757341</v>
      </c>
      <c r="H36" t="s">
        <v>60</v>
      </c>
    </row>
    <row r="37" spans="1:8" x14ac:dyDescent="0.4">
      <c r="A37">
        <v>35</v>
      </c>
      <c r="B37" s="4">
        <f t="shared" si="2"/>
        <v>3.1885087712849063</v>
      </c>
      <c r="C37" s="4">
        <f t="shared" si="3"/>
        <v>9.1413229228328632</v>
      </c>
      <c r="D37" s="4">
        <f t="shared" si="0"/>
        <v>199.35841402437086</v>
      </c>
      <c r="E37" s="4">
        <f t="shared" si="1"/>
        <v>184.41932462681646</v>
      </c>
    </row>
    <row r="38" spans="1:8" x14ac:dyDescent="0.4">
      <c r="A38">
        <v>35.25</v>
      </c>
      <c r="B38" s="4">
        <f t="shared" si="2"/>
        <v>3.1848211998366267</v>
      </c>
      <c r="C38" s="4">
        <f t="shared" si="3"/>
        <v>9.092164846638596</v>
      </c>
      <c r="D38" s="4">
        <f t="shared" si="0"/>
        <v>199.41515144807056</v>
      </c>
      <c r="E38" s="4">
        <f t="shared" si="1"/>
        <v>184.55639800419348</v>
      </c>
    </row>
    <row r="39" spans="1:8" x14ac:dyDescent="0.4">
      <c r="A39">
        <v>35.5</v>
      </c>
      <c r="B39" s="4">
        <f t="shared" si="2"/>
        <v>3.1811596108636233</v>
      </c>
      <c r="C39" s="4">
        <f t="shared" si="3"/>
        <v>9.0436279572516671</v>
      </c>
      <c r="D39" s="4">
        <f t="shared" si="0"/>
        <v>199.47051368199595</v>
      </c>
      <c r="E39" s="4">
        <f t="shared" si="1"/>
        <v>184.69108102524689</v>
      </c>
    </row>
    <row r="40" spans="1:8" x14ac:dyDescent="0.4">
      <c r="A40">
        <v>35.75</v>
      </c>
      <c r="B40" s="4">
        <f t="shared" si="2"/>
        <v>3.177523635354607</v>
      </c>
      <c r="C40" s="4">
        <f t="shared" si="3"/>
        <v>8.9957000932517648</v>
      </c>
      <c r="D40" s="4">
        <f t="shared" si="0"/>
        <v>199.52453128115241</v>
      </c>
      <c r="E40" s="4">
        <f t="shared" si="1"/>
        <v>184.82342411962676</v>
      </c>
    </row>
    <row r="41" spans="1:8" x14ac:dyDescent="0.4">
      <c r="A41">
        <v>36</v>
      </c>
      <c r="B41" s="4">
        <f t="shared" si="2"/>
        <v>3.1739129120901222</v>
      </c>
      <c r="C41" s="4">
        <f t="shared" si="3"/>
        <v>8.9483694144320367</v>
      </c>
      <c r="D41" s="4">
        <f t="shared" si="0"/>
        <v>199.57723394809418</v>
      </c>
      <c r="E41" s="4">
        <f t="shared" si="1"/>
        <v>184.95347633959318</v>
      </c>
    </row>
    <row r="42" spans="1:8" x14ac:dyDescent="0.4">
      <c r="A42">
        <v>36.25</v>
      </c>
      <c r="B42" s="4">
        <f t="shared" si="2"/>
        <v>3.170327087425036</v>
      </c>
      <c r="C42" s="4">
        <f t="shared" si="3"/>
        <v>8.9016243911520707</v>
      </c>
      <c r="D42" s="4">
        <f t="shared" si="0"/>
        <v>199.62865056205979</v>
      </c>
      <c r="E42" s="4">
        <f t="shared" si="1"/>
        <v>185.08128540655113</v>
      </c>
    </row>
    <row r="43" spans="1:8" x14ac:dyDescent="0.4">
      <c r="A43">
        <v>36.5</v>
      </c>
      <c r="B43" s="4">
        <f t="shared" si="2"/>
        <v>3.1667658150785591</v>
      </c>
      <c r="C43" s="4">
        <f t="shared" si="3"/>
        <v>8.8554537941146485</v>
      </c>
      <c r="D43" s="4">
        <f t="shared" si="0"/>
        <v>199.67880920692568</v>
      </c>
      <c r="E43" s="4">
        <f t="shared" si="1"/>
        <v>185.20689775571154</v>
      </c>
    </row>
    <row r="44" spans="1:8" x14ac:dyDescent="0.4">
      <c r="A44">
        <v>36.75</v>
      </c>
      <c r="B44" s="4">
        <f t="shared" si="2"/>
        <v>3.1632287559314829</v>
      </c>
      <c r="C44" s="4">
        <f t="shared" si="3"/>
        <v>8.8098466845463062</v>
      </c>
      <c r="D44" s="4">
        <f t="shared" si="0"/>
        <v>199.72773719803257</v>
      </c>
      <c r="E44" s="4">
        <f t="shared" si="1"/>
        <v>185.3303585789651</v>
      </c>
    </row>
    <row r="45" spans="1:8" x14ac:dyDescent="0.4">
      <c r="A45">
        <v>37</v>
      </c>
      <c r="B45" s="4">
        <f t="shared" si="2"/>
        <v>3.1597155778303354</v>
      </c>
      <c r="C45" s="4">
        <f t="shared" si="3"/>
        <v>8.7647924047631793</v>
      </c>
      <c r="D45" s="4">
        <f t="shared" si="0"/>
        <v>199.77546110793907</v>
      </c>
      <c r="E45" s="4">
        <f t="shared" si="1"/>
        <v>185.45171186605302</v>
      </c>
    </row>
    <row r="46" spans="1:8" x14ac:dyDescent="0.4">
      <c r="A46">
        <v>37.25</v>
      </c>
      <c r="B46" s="4">
        <f t="shared" si="2"/>
        <v>3.1562259553981895</v>
      </c>
      <c r="C46" s="4">
        <f t="shared" si="3"/>
        <v>8.7202805691048635</v>
      </c>
      <c r="D46" s="4">
        <f t="shared" si="0"/>
        <v>199.82200679114951</v>
      </c>
      <c r="E46" s="4">
        <f t="shared" si="1"/>
        <v>185.5710004441116</v>
      </c>
    </row>
    <row r="47" spans="1:8" x14ac:dyDescent="0.4">
      <c r="A47">
        <v>37.5</v>
      </c>
      <c r="B47" s="4">
        <f t="shared" si="2"/>
        <v>3.1527595698518325</v>
      </c>
      <c r="C47" s="4">
        <f t="shared" si="3"/>
        <v>8.6763010552190121</v>
      </c>
      <c r="D47" s="4">
        <f t="shared" si="0"/>
        <v>199.86739940786566</v>
      </c>
      <c r="E47" s="4">
        <f t="shared" si="1"/>
        <v>185.68826601566681</v>
      </c>
    </row>
    <row r="48" spans="1:8" x14ac:dyDescent="0.4">
      <c r="A48">
        <v>37.75</v>
      </c>
      <c r="B48" s="4">
        <f t="shared" si="2"/>
        <v>3.1493161088250599</v>
      </c>
      <c r="C48" s="4">
        <f t="shared" si="3"/>
        <v>8.6328439956813963</v>
      </c>
      <c r="D48" s="4">
        <f t="shared" si="0"/>
        <v>199.91166344680607</v>
      </c>
      <c r="E48" s="4">
        <f t="shared" si="1"/>
        <v>185.80354919514821</v>
      </c>
    </row>
    <row r="49" spans="1:5" x14ac:dyDescent="0.4">
      <c r="A49">
        <v>38</v>
      </c>
      <c r="B49" s="4">
        <f t="shared" si="2"/>
        <v>3.1458952661978419</v>
      </c>
      <c r="C49" s="4">
        <f t="shared" si="3"/>
        <v>8.58989976993605</v>
      </c>
      <c r="D49" s="4">
        <f t="shared" si="0"/>
        <v>199.95482274713461</v>
      </c>
      <c r="E49" s="4">
        <f t="shared" si="1"/>
        <v>185.91688954398953</v>
      </c>
    </row>
    <row r="50" spans="1:5" x14ac:dyDescent="0.4">
      <c r="A50">
        <v>38.25</v>
      </c>
      <c r="B50" s="4">
        <f t="shared" si="2"/>
        <v>3.1424967419311303</v>
      </c>
      <c r="C50" s="4">
        <f t="shared" si="3"/>
        <v>8.5474589965413781</v>
      </c>
      <c r="D50" s="4">
        <f t="shared" si="0"/>
        <v>199.99690051954008</v>
      </c>
      <c r="E50" s="4">
        <f t="shared" si="1"/>
        <v>186.02832560437986</v>
      </c>
    </row>
    <row r="51" spans="1:5" x14ac:dyDescent="0.4">
      <c r="A51">
        <v>38.5</v>
      </c>
      <c r="B51" s="4">
        <f t="shared" si="2"/>
        <v>3.1391202419070829</v>
      </c>
      <c r="C51" s="4">
        <f t="shared" si="3"/>
        <v>8.505512525708685</v>
      </c>
      <c r="D51" s="4">
        <f t="shared" si="0"/>
        <v>200.03791936650342</v>
      </c>
      <c r="E51" s="4">
        <f t="shared" si="1"/>
        <v>186.13789493172456</v>
      </c>
    </row>
    <row r="52" spans="1:5" x14ac:dyDescent="0.4">
      <c r="A52">
        <v>38.75</v>
      </c>
      <c r="B52" s="4">
        <f t="shared" si="2"/>
        <v>3.1357654777744983</v>
      </c>
      <c r="C52" s="4">
        <f t="shared" si="3"/>
        <v>8.4640514321203</v>
      </c>
      <c r="D52" s="4">
        <f t="shared" si="0"/>
        <v>200.07790130178967</v>
      </c>
      <c r="E52" s="4">
        <f t="shared" si="1"/>
        <v>186.24563412587429</v>
      </c>
    </row>
    <row r="53" spans="1:5" x14ac:dyDescent="0.4">
      <c r="A53">
        <v>39</v>
      </c>
      <c r="B53" s="4">
        <f t="shared" si="2"/>
        <v>3.1324321667992585</v>
      </c>
      <c r="C53" s="4">
        <f t="shared" si="3"/>
        <v>8.4230670080150958</v>
      </c>
      <c r="D53" s="4">
        <f t="shared" si="0"/>
        <v>200.11686776919865</v>
      </c>
      <c r="E53" s="4">
        <f t="shared" si="1"/>
        <v>186.35157886117557</v>
      </c>
    </row>
    <row r="54" spans="1:5" x14ac:dyDescent="0.4">
      <c r="A54">
        <v>39.25</v>
      </c>
      <c r="B54" s="4">
        <f t="shared" si="2"/>
        <v>3.1291200317195758</v>
      </c>
      <c r="C54" s="4">
        <f t="shared" si="3"/>
        <v>8.3825507565296977</v>
      </c>
      <c r="D54" s="4">
        <f t="shared" si="0"/>
        <v>200.15483966060728</v>
      </c>
      <c r="E54" s="4">
        <f t="shared" si="1"/>
        <v>186.45576391539481</v>
      </c>
    </row>
    <row r="55" spans="1:5" x14ac:dyDescent="0.4">
      <c r="A55">
        <v>39.5</v>
      </c>
      <c r="B55" s="4">
        <f t="shared" si="2"/>
        <v>3.1258288006058716</v>
      </c>
      <c r="C55" s="4">
        <f t="shared" si="3"/>
        <v>8.3424943852844873</v>
      </c>
      <c r="D55" s="4">
        <f t="shared" si="0"/>
        <v>200.19183733333392</v>
      </c>
      <c r="E55" s="4">
        <f t="shared" si="1"/>
        <v>186.55822319756524</v>
      </c>
    </row>
    <row r="56" spans="1:5" x14ac:dyDescent="0.4">
      <c r="A56">
        <v>39.75</v>
      </c>
      <c r="B56" s="4">
        <f t="shared" si="2"/>
        <v>3.1225582067251114</v>
      </c>
      <c r="C56" s="4">
        <f t="shared" si="3"/>
        <v>8.302889800203932</v>
      </c>
      <c r="D56" s="4">
        <f t="shared" si="0"/>
        <v>200.22788062685484</v>
      </c>
      <c r="E56" s="4">
        <f t="shared" si="1"/>
        <v>186.65898977480185</v>
      </c>
    </row>
    <row r="57" spans="1:5" x14ac:dyDescent="0.4">
      <c r="A57">
        <v>40</v>
      </c>
      <c r="B57" s="4">
        <f t="shared" si="2"/>
        <v>3.1193079884094135</v>
      </c>
      <c r="C57" s="4">
        <f t="shared" si="3"/>
        <v>8.2637290995610915</v>
      </c>
      <c r="D57" s="4">
        <f t="shared" si="0"/>
        <v>200.26298887890064</v>
      </c>
      <c r="E57" s="4">
        <f t="shared" si="1"/>
        <v>186.75809589813096</v>
      </c>
    </row>
    <row r="58" spans="1:5" x14ac:dyDescent="0.4">
      <c r="A58">
        <v>40.25</v>
      </c>
      <c r="B58" s="4">
        <f t="shared" si="2"/>
        <v>3.1160778889287886</v>
      </c>
      <c r="C58" s="4">
        <f t="shared" si="3"/>
        <v>8.2250045682370807</v>
      </c>
      <c r="D58" s="4">
        <f t="shared" si="0"/>
        <v>200.29718094095927</v>
      </c>
      <c r="E58" s="4">
        <f t="shared" si="1"/>
        <v>186.85557302737419</v>
      </c>
    </row>
    <row r="59" spans="1:5" x14ac:dyDescent="0.4">
      <c r="A59">
        <v>40.5</v>
      </c>
      <c r="B59" s="4">
        <f t="shared" si="2"/>
        <v>3.1128676563678401</v>
      </c>
      <c r="C59" s="4">
        <f t="shared" si="3"/>
        <v>8.1867086721861746</v>
      </c>
      <c r="D59" s="4">
        <f t="shared" si="0"/>
        <v>200.33047519321016</v>
      </c>
      <c r="E59" s="4">
        <f t="shared" si="1"/>
        <v>186.95145185512834</v>
      </c>
    </row>
    <row r="60" spans="1:5" x14ac:dyDescent="0.4">
      <c r="A60">
        <v>40.75</v>
      </c>
      <c r="B60" s="4">
        <f t="shared" si="2"/>
        <v>3.1096770435062879</v>
      </c>
      <c r="C60" s="4">
        <f t="shared" si="3"/>
        <v>8.1488340530982022</v>
      </c>
      <c r="D60" s="4">
        <f t="shared" si="0"/>
        <v>200.36288955891536</v>
      </c>
      <c r="E60" s="4">
        <f t="shared" si="1"/>
        <v>187.04576232987924</v>
      </c>
    </row>
    <row r="61" spans="1:5" x14ac:dyDescent="0.4">
      <c r="A61">
        <v>41</v>
      </c>
      <c r="B61" s="4">
        <f t="shared" si="2"/>
        <v>3.1065058077031753</v>
      </c>
      <c r="C61" s="4">
        <f t="shared" si="3"/>
        <v>8.1113735232499007</v>
      </c>
      <c r="D61" s="4">
        <f t="shared" si="0"/>
        <v>200.39444151828872</v>
      </c>
      <c r="E61" s="4">
        <f t="shared" si="1"/>
        <v>187.138533678285</v>
      </c>
    </row>
    <row r="62" spans="1:5" x14ac:dyDescent="0.4">
      <c r="A62">
        <v>41.25</v>
      </c>
      <c r="B62" s="4">
        <f t="shared" si="2"/>
        <v>3.1033537107846105</v>
      </c>
      <c r="C62" s="4">
        <f t="shared" si="3"/>
        <v>8.0743200605374899</v>
      </c>
      <c r="D62" s="4">
        <f t="shared" si="0"/>
        <v>200.42514812186633</v>
      </c>
      <c r="E62" s="4">
        <f t="shared" si="1"/>
        <v>187.2297944266644</v>
      </c>
    </row>
    <row r="63" spans="1:5" x14ac:dyDescent="0.4">
      <c r="A63">
        <v>41.5</v>
      </c>
      <c r="B63" s="4">
        <f t="shared" si="2"/>
        <v>3.1002205189349334</v>
      </c>
      <c r="C63" s="4">
        <f t="shared" si="3"/>
        <v>8.0376668036829617</v>
      </c>
      <c r="D63" s="4">
        <f t="shared" si="0"/>
        <v>200.45502600339793</v>
      </c>
      <c r="E63" s="4">
        <f t="shared" si="1"/>
        <v>187.31957242172268</v>
      </c>
    </row>
    <row r="64" spans="1:5" x14ac:dyDescent="0.4">
      <c r="A64">
        <v>41.75</v>
      </c>
      <c r="B64" s="4">
        <f t="shared" si="2"/>
        <v>3.0971060025911674</v>
      </c>
      <c r="C64" s="4">
        <f t="shared" si="3"/>
        <v>8.0014070476071488</v>
      </c>
      <c r="D64" s="4">
        <f t="shared" si="0"/>
        <v>200.48409139228028</v>
      </c>
      <c r="E64" s="4">
        <f t="shared" si="1"/>
        <v>187.40789485054583</v>
      </c>
    </row>
    <row r="65" spans="1:5" x14ac:dyDescent="0.4">
      <c r="A65">
        <v>42</v>
      </c>
      <c r="B65" s="4">
        <f t="shared" si="2"/>
        <v>3.0940099363406448</v>
      </c>
      <c r="C65" s="4">
        <f t="shared" si="3"/>
        <v>7.9655342389626007</v>
      </c>
      <c r="D65" s="4">
        <f t="shared" si="0"/>
        <v>200.51236012555032</v>
      </c>
      <c r="E65" s="4">
        <f t="shared" si="1"/>
        <v>187.49478825989459</v>
      </c>
    </row>
    <row r="66" spans="1:5" x14ac:dyDescent="0.4">
      <c r="A66">
        <v>42.25</v>
      </c>
      <c r="B66" s="4">
        <f t="shared" si="2"/>
        <v>3.0909320988216935</v>
      </c>
      <c r="C66" s="4">
        <f t="shared" si="3"/>
        <v>7.930041971820077</v>
      </c>
      <c r="D66" s="4">
        <f t="shared" si="0"/>
        <v>200.53984765945665</v>
      </c>
      <c r="E66" s="4">
        <f t="shared" si="1"/>
        <v>187.58027857482506</v>
      </c>
    </row>
    <row r="67" spans="1:5" x14ac:dyDescent="0.4">
      <c r="A67">
        <v>42.5</v>
      </c>
      <c r="B67" s="4">
        <f t="shared" si="2"/>
        <v>3.0878722726272727</v>
      </c>
      <c r="C67" s="4">
        <f t="shared" si="3"/>
        <v>7.8949239835022968</v>
      </c>
      <c r="D67" s="4">
        <f t="shared" si="0"/>
        <v>200.56656908062655</v>
      </c>
      <c r="E67" s="4">
        <f t="shared" si="1"/>
        <v>187.66439111666429</v>
      </c>
    </row>
    <row r="68" spans="1:5" x14ac:dyDescent="0.4">
      <c r="A68">
        <v>42.75</v>
      </c>
      <c r="B68" s="4">
        <f t="shared" si="2"/>
        <v>3.0848302442114486</v>
      </c>
      <c r="C68" s="4">
        <f t="shared" si="3"/>
        <v>7.8601741505591267</v>
      </c>
      <c r="D68" s="4">
        <f t="shared" si="0"/>
        <v>200.59253911684468</v>
      </c>
      <c r="E68" s="4">
        <f t="shared" si="1"/>
        <v>187.74715062036657</v>
      </c>
    </row>
    <row r="69" spans="1:5" x14ac:dyDescent="0.4">
      <c r="A69">
        <v>43</v>
      </c>
      <c r="B69" s="4">
        <f t="shared" si="2"/>
        <v>3.0818058037986278</v>
      </c>
      <c r="C69" s="4">
        <f t="shared" si="3"/>
        <v>7.8257864848787619</v>
      </c>
      <c r="D69" s="4">
        <f t="shared" si="0"/>
        <v>200.61777214745905</v>
      </c>
      <c r="E69" s="4">
        <f t="shared" si="1"/>
        <v>187.82858125127453</v>
      </c>
    </row>
    <row r="70" spans="1:5" x14ac:dyDescent="0.4">
      <c r="A70">
        <v>43.25</v>
      </c>
      <c r="B70" s="4">
        <f t="shared" si="2"/>
        <v>3.0787987452954257</v>
      </c>
      <c r="C70" s="4">
        <f t="shared" si="3"/>
        <v>7.7917551299293359</v>
      </c>
      <c r="D70" s="4">
        <f t="shared" si="0"/>
        <v>200.64228221342947</v>
      </c>
      <c r="E70" s="4">
        <f t="shared" si="1"/>
        <v>187.90870662130993</v>
      </c>
    </row>
    <row r="71" spans="1:5" x14ac:dyDescent="0.4">
      <c r="A71">
        <v>43.5</v>
      </c>
      <c r="B71" s="4">
        <f t="shared" si="2"/>
        <v>3.0758088662051035</v>
      </c>
      <c r="C71" s="4">
        <f t="shared" si="3"/>
        <v>7.7580743571259205</v>
      </c>
      <c r="D71" s="4">
        <f t="shared" si="0"/>
        <v>200.66608302703256</v>
      </c>
      <c r="E71" s="4">
        <f t="shared" si="1"/>
        <v>187.98754980461558</v>
      </c>
    </row>
    <row r="72" spans="1:5" x14ac:dyDescent="0.4">
      <c r="A72">
        <v>43.75</v>
      </c>
      <c r="B72" s="4">
        <f t="shared" si="2"/>
        <v>3.0728359675444676</v>
      </c>
      <c r="C72" s="4">
        <f t="shared" si="3"/>
        <v>7.7247385623182208</v>
      </c>
      <c r="D72" s="4">
        <f t="shared" si="0"/>
        <v>200.68918798123659</v>
      </c>
      <c r="E72" s="4">
        <f t="shared" si="1"/>
        <v>188.06513335267024</v>
      </c>
    </row>
    <row r="73" spans="1:5" x14ac:dyDescent="0.4">
      <c r="A73">
        <v>44</v>
      </c>
      <c r="B73" s="4">
        <f t="shared" si="2"/>
        <v>3.0698798537631538</v>
      </c>
      <c r="C73" s="4">
        <f t="shared" si="3"/>
        <v>7.6917422623939409</v>
      </c>
      <c r="D73" s="4">
        <f t="shared" si="0"/>
        <v>200.71161015875973</v>
      </c>
      <c r="E73" s="4">
        <f t="shared" si="1"/>
        <v>188.14147930889791</v>
      </c>
    </row>
    <row r="74" spans="1:5" x14ac:dyDescent="0.4">
      <c r="A74">
        <v>44.25</v>
      </c>
      <c r="B74" s="4">
        <f t="shared" si="2"/>
        <v>3.0669403326652143</v>
      </c>
      <c r="C74" s="4">
        <f t="shared" si="3"/>
        <v>7.6590800919937454</v>
      </c>
      <c r="D74" s="4">
        <f t="shared" si="0"/>
        <v>200.73336234082353</v>
      </c>
      <c r="E74" s="4">
        <f t="shared" si="1"/>
        <v>188.21660922278954</v>
      </c>
    </row>
    <row r="75" spans="1:5" x14ac:dyDescent="0.4">
      <c r="A75">
        <v>44.5</v>
      </c>
      <c r="B75" s="4">
        <f t="shared" si="2"/>
        <v>3.064017215332933</v>
      </c>
      <c r="C75" s="4">
        <f t="shared" si="3"/>
        <v>7.626746800333251</v>
      </c>
      <c r="D75" s="4">
        <f t="shared" si="0"/>
        <v>200.75445701561412</v>
      </c>
      <c r="E75" s="4">
        <f t="shared" si="1"/>
        <v>188.29054416355814</v>
      </c>
    </row>
    <row r="76" spans="1:5" x14ac:dyDescent="0.4">
      <c r="A76">
        <v>44.75</v>
      </c>
      <c r="B76" s="4">
        <f t="shared" si="2"/>
        <v>3.0611103160527771</v>
      </c>
      <c r="C76" s="4">
        <f t="shared" si="3"/>
        <v>7.594737248128145</v>
      </c>
      <c r="D76" s="4">
        <f t="shared" si="0"/>
        <v>200.77490638646134</v>
      </c>
      <c r="E76" s="4">
        <f t="shared" si="1"/>
        <v>188.36330473334283</v>
      </c>
    </row>
    <row r="77" spans="1:5" x14ac:dyDescent="0.4">
      <c r="A77">
        <v>45</v>
      </c>
      <c r="B77" s="4">
        <f t="shared" si="2"/>
        <v>3.0582194522434425</v>
      </c>
      <c r="C77" s="4">
        <f t="shared" si="3"/>
        <v>7.5630464046185679</v>
      </c>
      <c r="D77" s="4">
        <f t="shared" si="0"/>
        <v>200.79472237974849</v>
      </c>
      <c r="E77" s="4">
        <f t="shared" si="1"/>
        <v>188.43491107998142</v>
      </c>
    </row>
    <row r="78" spans="1:5" x14ac:dyDescent="0.4">
      <c r="A78">
        <v>45.25</v>
      </c>
      <c r="B78" s="4">
        <f t="shared" si="2"/>
        <v>3.0553444443858875</v>
      </c>
      <c r="C78" s="4">
        <f t="shared" si="3"/>
        <v>7.5316693446887513</v>
      </c>
      <c r="D78" s="4">
        <f t="shared" si="0"/>
        <v>200.81391665256041</v>
      </c>
      <c r="E78" s="4">
        <f t="shared" si="1"/>
        <v>188.50538290936598</v>
      </c>
    </row>
    <row r="79" spans="1:5" x14ac:dyDescent="0.4">
      <c r="A79">
        <v>45.5</v>
      </c>
      <c r="B79" s="4">
        <f t="shared" ref="B79:B142" si="5">SQRT(2/($B$9-1)*((A79/$B$3)^((1-$B$9)/$B$9) - 1))</f>
        <v>3.0524851159553275</v>
      </c>
      <c r="C79" s="4">
        <f t="shared" ref="C79:C116" si="6">1/B79*(2/($B$9+1)*(1 + ($B$9-1)/2*B79^2))^(($B$9+1)/(2*$B$9-2))</f>
        <v>7.5006012460787641</v>
      </c>
      <c r="D79" s="4">
        <f t="shared" ref="D79:D142" si="7">$B$6*$B$12/9.81*($B$9*SQRT(2/($B$9-1)*(2/($B$9+1))^(($B$9+1)/($B$9-1))*(1 - (A79/$B$3)^(($B$9-1)/$B$9))) + C79/$B$3*(A79 - $E$5))</f>
        <v>200.83250060008288</v>
      </c>
      <c r="E79" s="4">
        <f t="shared" ref="E79:E142" si="8">$B$6*$B$12/9.81*($B$9*SQRT(2/($B$9-1)*(2/($B$9+1))^(($B$9+1)/($B$9-1))*(1 - (A79/$B$3)^(($B$9-1)/$B$9))) + C79/$B$3*(A79 - $E$4))</f>
        <v>188.57473949739841</v>
      </c>
    </row>
    <row r="80" spans="1:5" x14ac:dyDescent="0.4">
      <c r="A80">
        <v>45.75</v>
      </c>
      <c r="B80" s="4">
        <f t="shared" si="5"/>
        <v>3.0496412933550836</v>
      </c>
      <c r="C80" s="4">
        <f t="shared" si="6"/>
        <v>7.4698373866845715</v>
      </c>
      <c r="D80" s="4">
        <f t="shared" si="7"/>
        <v>200.85048536276014</v>
      </c>
      <c r="E80" s="4">
        <f t="shared" si="8"/>
        <v>188.64299970156083</v>
      </c>
    </row>
    <row r="81" spans="1:5" x14ac:dyDescent="0.4">
      <c r="A81">
        <v>46</v>
      </c>
      <c r="B81" s="4">
        <f t="shared" si="5"/>
        <v>3.0468128058522645</v>
      </c>
      <c r="C81" s="4">
        <f t="shared" si="6"/>
        <v>7.4393731419432987</v>
      </c>
      <c r="D81" s="4">
        <f t="shared" si="7"/>
        <v>200.86788183322093</v>
      </c>
      <c r="E81" s="4">
        <f t="shared" si="8"/>
        <v>188.7101819721143</v>
      </c>
    </row>
    <row r="82" spans="1:5" x14ac:dyDescent="0.4">
      <c r="A82">
        <v>46.25</v>
      </c>
      <c r="B82" s="4">
        <f t="shared" si="5"/>
        <v>3.0439994855151933</v>
      </c>
      <c r="C82" s="4">
        <f t="shared" si="6"/>
        <v>7.4092039823006575</v>
      </c>
      <c r="D82" s="4">
        <f t="shared" si="7"/>
        <v>200.88470066298194</v>
      </c>
      <c r="E82" s="4">
        <f t="shared" si="8"/>
        <v>188.77630436294137</v>
      </c>
    </row>
    <row r="83" spans="1:5" x14ac:dyDescent="0.4">
      <c r="A83">
        <v>46.5</v>
      </c>
      <c r="B83" s="4">
        <f t="shared" si="5"/>
        <v>3.0412011671525341</v>
      </c>
      <c r="C83" s="4">
        <f t="shared" si="6"/>
        <v>7.3793254707573022</v>
      </c>
      <c r="D83" s="4">
        <f t="shared" si="7"/>
        <v>200.90095226893584</v>
      </c>
      <c r="E83" s="4">
        <f t="shared" si="8"/>
        <v>188.84138454204378</v>
      </c>
    </row>
    <row r="84" spans="1:5" x14ac:dyDescent="0.4">
      <c r="A84">
        <v>46.75</v>
      </c>
      <c r="B84" s="4">
        <f t="shared" si="5"/>
        <v>3.0384176882540603</v>
      </c>
      <c r="C84" s="4">
        <f t="shared" si="6"/>
        <v>7.349733260491341</v>
      </c>
      <c r="D84" s="4">
        <f t="shared" si="7"/>
        <v>200.91664683963296</v>
      </c>
      <c r="E84" s="4">
        <f t="shared" si="8"/>
        <v>188.90543980170972</v>
      </c>
    </row>
    <row r="85" spans="1:5" x14ac:dyDescent="0.4">
      <c r="A85">
        <v>47</v>
      </c>
      <c r="B85" s="4">
        <f t="shared" si="5"/>
        <v>3.0356488889330202</v>
      </c>
      <c r="C85" s="4">
        <f t="shared" si="6"/>
        <v>7.3204230925544831</v>
      </c>
      <c r="D85" s="4">
        <f t="shared" si="7"/>
        <v>200.93179434136397</v>
      </c>
      <c r="E85" s="4">
        <f t="shared" si="8"/>
        <v>188.96848706836124</v>
      </c>
    </row>
    <row r="86" spans="1:5" x14ac:dyDescent="0.4">
      <c r="A86">
        <v>47.25</v>
      </c>
      <c r="B86" s="4">
        <f t="shared" si="5"/>
        <v>3.0328946118700308</v>
      </c>
      <c r="C86" s="4">
        <f t="shared" si="6"/>
        <v>7.2913907936386773</v>
      </c>
      <c r="D86" s="4">
        <f t="shared" si="7"/>
        <v>200.94640452405017</v>
      </c>
      <c r="E86" s="4">
        <f t="shared" si="8"/>
        <v>189.03054291209466</v>
      </c>
    </row>
    <row r="87" spans="1:5" x14ac:dyDescent="0.4">
      <c r="A87">
        <v>47.5</v>
      </c>
      <c r="B87" s="4">
        <f t="shared" si="5"/>
        <v>3.0301547022584723</v>
      </c>
      <c r="C87" s="4">
        <f t="shared" si="6"/>
        <v>7.2626322739111693</v>
      </c>
      <c r="D87" s="4">
        <f t="shared" si="7"/>
        <v>200.96048692694956</v>
      </c>
      <c r="E87" s="4">
        <f t="shared" si="8"/>
        <v>189.09162355592451</v>
      </c>
    </row>
    <row r="88" spans="1:5" x14ac:dyDescent="0.4">
      <c r="A88">
        <v>47.75</v>
      </c>
      <c r="B88" s="4">
        <f t="shared" si="5"/>
        <v>3.0274290077513162</v>
      </c>
      <c r="C88" s="4">
        <f t="shared" si="6"/>
        <v>7.2341435249152886</v>
      </c>
      <c r="D88" s="4">
        <f t="shared" si="7"/>
        <v>200.97405088418412</v>
      </c>
      <c r="E88" s="4">
        <f t="shared" si="8"/>
        <v>189.15174488474156</v>
      </c>
    </row>
    <row r="89" spans="1:5" x14ac:dyDescent="0.4">
      <c r="A89">
        <v>48</v>
      </c>
      <c r="B89" s="4">
        <f t="shared" si="5"/>
        <v>3.0247173784093571</v>
      </c>
      <c r="C89" s="4">
        <f t="shared" si="6"/>
        <v>7.2059206175347335</v>
      </c>
      <c r="D89" s="4">
        <f t="shared" si="7"/>
        <v>200.98710553009604</v>
      </c>
      <c r="E89" s="4">
        <f t="shared" si="8"/>
        <v>189.21092245399575</v>
      </c>
    </row>
    <row r="90" spans="1:5" x14ac:dyDescent="0.4">
      <c r="A90">
        <v>48.25</v>
      </c>
      <c r="B90" s="4">
        <f t="shared" si="5"/>
        <v>3.0220196666507992</v>
      </c>
      <c r="C90" s="4">
        <f t="shared" si="6"/>
        <v>7.1779597000190991</v>
      </c>
      <c r="D90" s="4">
        <f t="shared" si="7"/>
        <v>200.99965980443801</v>
      </c>
      <c r="E90" s="4">
        <f t="shared" si="8"/>
        <v>189.26917149811339</v>
      </c>
    </row>
    <row r="91" spans="1:5" x14ac:dyDescent="0.4">
      <c r="A91">
        <v>48.5</v>
      </c>
      <c r="B91" s="4">
        <f t="shared" si="5"/>
        <v>3.0193357272021464</v>
      </c>
      <c r="C91" s="4">
        <f t="shared" si="6"/>
        <v>7.1502569960684284</v>
      </c>
      <c r="D91" s="4">
        <f t="shared" si="7"/>
        <v>201.01172245740395</v>
      </c>
      <c r="E91" s="4">
        <f t="shared" si="8"/>
        <v>189.32650693865799</v>
      </c>
    </row>
    <row r="92" spans="1:5" x14ac:dyDescent="0.4">
      <c r="A92">
        <v>48.75</v>
      </c>
      <c r="B92" s="4">
        <f t="shared" si="5"/>
        <v>3.0166654170503726</v>
      </c>
      <c r="C92" s="4">
        <f t="shared" si="6"/>
        <v>7.1228088029749115</v>
      </c>
      <c r="D92" s="4">
        <f t="shared" si="7"/>
        <v>201.02330205450608</v>
      </c>
      <c r="E92" s="4">
        <f t="shared" si="8"/>
        <v>189.38294339224427</v>
      </c>
    </row>
    <row r="93" spans="1:5" x14ac:dyDescent="0.4">
      <c r="A93">
        <v>49</v>
      </c>
      <c r="B93" s="4">
        <f t="shared" si="5"/>
        <v>3.0140085953963149</v>
      </c>
      <c r="C93" s="4">
        <f t="shared" si="6"/>
        <v>7.0956114898194143</v>
      </c>
      <c r="D93" s="4">
        <f t="shared" si="7"/>
        <v>201.03440698130294</v>
      </c>
      <c r="E93" s="4">
        <f t="shared" si="8"/>
        <v>189.43849517821386</v>
      </c>
    </row>
    <row r="94" spans="1:5" x14ac:dyDescent="0.4">
      <c r="A94">
        <v>49.25</v>
      </c>
      <c r="B94" s="4">
        <f t="shared" si="5"/>
        <v>3.01136512360927</v>
      </c>
      <c r="C94" s="4">
        <f t="shared" si="6"/>
        <v>7.0686614957214431</v>
      </c>
      <c r="D94" s="4">
        <f t="shared" si="7"/>
        <v>201.04504544798488</v>
      </c>
      <c r="E94" s="4">
        <f t="shared" si="8"/>
        <v>189.49317632608009</v>
      </c>
    </row>
    <row r="95" spans="1:5" x14ac:dyDescent="0.4">
      <c r="A95">
        <v>49.5</v>
      </c>
      <c r="B95" s="4">
        <f t="shared" si="5"/>
        <v>3.0087348651827366</v>
      </c>
      <c r="C95" s="4">
        <f t="shared" si="6"/>
        <v>7.0419553281400997</v>
      </c>
      <c r="D95" s="4">
        <f t="shared" si="7"/>
        <v>201.05522549382067</v>
      </c>
      <c r="E95" s="4">
        <f t="shared" si="8"/>
        <v>189.54700058275188</v>
      </c>
    </row>
    <row r="96" spans="1:5" x14ac:dyDescent="0.4">
      <c r="A96">
        <v>49.75</v>
      </c>
      <c r="B96" s="4">
        <f t="shared" si="5"/>
        <v>3.0061176856912928</v>
      </c>
      <c r="C96" s="4">
        <f t="shared" si="6"/>
        <v>7.0154895612248573</v>
      </c>
      <c r="D96" s="4">
        <f t="shared" si="7"/>
        <v>201.0649549914711</v>
      </c>
      <c r="E96" s="4">
        <f t="shared" si="8"/>
        <v>189.59998141954205</v>
      </c>
    </row>
    <row r="97" spans="1:5" x14ac:dyDescent="0.4">
      <c r="A97">
        <v>50</v>
      </c>
      <c r="B97" s="4">
        <f t="shared" si="5"/>
        <v>3.0035134527485448</v>
      </c>
      <c r="C97" s="4">
        <f t="shared" si="6"/>
        <v>6.989260834214039</v>
      </c>
      <c r="D97" s="4">
        <f t="shared" si="7"/>
        <v>201.07424165117357</v>
      </c>
      <c r="E97" s="4">
        <f t="shared" si="8"/>
        <v>189.65213203896965</v>
      </c>
    </row>
    <row r="98" spans="1:5" x14ac:dyDescent="0.4">
      <c r="A98">
        <v>50.25</v>
      </c>
      <c r="B98" s="4">
        <f t="shared" si="5"/>
        <v>3.0009220359661528</v>
      </c>
      <c r="C98" s="4">
        <f t="shared" si="6"/>
        <v>6.9632658498796607</v>
      </c>
      <c r="D98" s="4">
        <f t="shared" si="7"/>
        <v>201.08309302480251</v>
      </c>
      <c r="E98" s="4">
        <f t="shared" si="8"/>
        <v>189.7034653813615</v>
      </c>
    </row>
    <row r="99" spans="1:5" x14ac:dyDescent="0.4">
      <c r="A99">
        <v>50.5</v>
      </c>
      <c r="B99" s="4">
        <f t="shared" si="5"/>
        <v>2.9983433069138572</v>
      </c>
      <c r="C99" s="4">
        <f t="shared" si="6"/>
        <v>6.9375013730168522</v>
      </c>
      <c r="D99" s="4">
        <f t="shared" si="7"/>
        <v>201.09151650980968</v>
      </c>
      <c r="E99" s="4">
        <f t="shared" si="8"/>
        <v>189.75399413126127</v>
      </c>
    </row>
    <row r="100" spans="1:5" x14ac:dyDescent="0.4">
      <c r="A100">
        <v>50.75</v>
      </c>
      <c r="B100" s="4">
        <f t="shared" si="5"/>
        <v>2.9957771390805177</v>
      </c>
      <c r="C100" s="4">
        <f t="shared" si="6"/>
        <v>6.911964228976613</v>
      </c>
      <c r="D100" s="4">
        <f t="shared" si="7"/>
        <v>201.09951935304824</v>
      </c>
      <c r="E100" s="4">
        <f t="shared" si="8"/>
        <v>189.80373072365143</v>
      </c>
    </row>
    <row r="101" spans="1:5" x14ac:dyDescent="0.4">
      <c r="A101">
        <v>51</v>
      </c>
      <c r="B101" s="4">
        <f t="shared" si="5"/>
        <v>2.9932234078361022</v>
      </c>
      <c r="C101" s="4">
        <f t="shared" si="6"/>
        <v>6.8866513022401241</v>
      </c>
      <c r="D101" s="4">
        <f t="shared" si="7"/>
        <v>201.10710865448542</v>
      </c>
      <c r="E101" s="4">
        <f t="shared" si="8"/>
        <v>189.85268734999579</v>
      </c>
    </row>
    <row r="102" spans="1:5" x14ac:dyDescent="0.4">
      <c r="A102">
        <v>51.25</v>
      </c>
      <c r="B102" s="4">
        <f t="shared" si="5"/>
        <v>2.9906819903946196</v>
      </c>
      <c r="C102" s="4">
        <f t="shared" si="6"/>
        <v>6.8615595350336447</v>
      </c>
      <c r="D102" s="4">
        <f t="shared" si="7"/>
        <v>201.11429137080626</v>
      </c>
      <c r="E102" s="4">
        <f t="shared" si="8"/>
        <v>189.90087596410675</v>
      </c>
    </row>
    <row r="103" spans="1:5" x14ac:dyDescent="0.4">
      <c r="A103">
        <v>51.5</v>
      </c>
      <c r="B103" s="4">
        <f t="shared" si="5"/>
        <v>2.9881527657779565</v>
      </c>
      <c r="C103" s="4">
        <f t="shared" si="6"/>
        <v>6.8366859259822901</v>
      </c>
      <c r="D103" s="4">
        <f t="shared" si="7"/>
        <v>201.12107431891332</v>
      </c>
      <c r="E103" s="4">
        <f t="shared" si="8"/>
        <v>189.94830828784518</v>
      </c>
    </row>
    <row r="104" spans="1:5" x14ac:dyDescent="0.4">
      <c r="A104">
        <v>51.75</v>
      </c>
      <c r="B104" s="4">
        <f t="shared" si="5"/>
        <v>2.9856356147805969</v>
      </c>
      <c r="C104" s="4">
        <f t="shared" si="6"/>
        <v>6.8120275288015986</v>
      </c>
      <c r="D104" s="4">
        <f t="shared" si="7"/>
        <v>201.12746417932522</v>
      </c>
      <c r="E104" s="4">
        <f t="shared" si="8"/>
        <v>189.99499581665719</v>
      </c>
    </row>
    <row r="105" spans="1:5" x14ac:dyDescent="0.4">
      <c r="A105">
        <v>52</v>
      </c>
      <c r="B105" s="4">
        <f t="shared" si="5"/>
        <v>2.9831304199351978</v>
      </c>
      <c r="C105" s="4">
        <f t="shared" si="6"/>
        <v>6.7875814510256607</v>
      </c>
      <c r="D105" s="4">
        <f t="shared" si="7"/>
        <v>201.13346749947701</v>
      </c>
      <c r="E105" s="4">
        <f t="shared" si="8"/>
        <v>190.04094982495309</v>
      </c>
    </row>
    <row r="106" spans="1:5" x14ac:dyDescent="0.4">
      <c r="A106">
        <v>52.25</v>
      </c>
      <c r="B106" s="4">
        <f t="shared" si="5"/>
        <v>2.9806370654789913</v>
      </c>
      <c r="C106" s="4">
        <f t="shared" si="6"/>
        <v>6.7633448527704569</v>
      </c>
      <c r="D106" s="4">
        <f t="shared" si="7"/>
        <v>201.13909069692693</v>
      </c>
      <c r="E106" s="4">
        <f t="shared" si="8"/>
        <v>190.0861813713349</v>
      </c>
    </row>
    <row r="107" spans="1:5" x14ac:dyDescent="0.4">
      <c r="A107">
        <v>52.5</v>
      </c>
      <c r="B107" s="4">
        <f t="shared" si="5"/>
        <v>2.9781554373209991</v>
      </c>
      <c r="C107" s="4">
        <f t="shared" si="6"/>
        <v>6.7393149455314898</v>
      </c>
      <c r="D107" s="4">
        <f t="shared" si="7"/>
        <v>201.14434006247109</v>
      </c>
      <c r="E107" s="4">
        <f t="shared" si="8"/>
        <v>190.13070130367649</v>
      </c>
    </row>
    <row r="108" spans="1:5" x14ac:dyDescent="0.4">
      <c r="A108">
        <v>52.75</v>
      </c>
      <c r="B108" s="4">
        <f t="shared" si="5"/>
        <v>2.9756854230100327</v>
      </c>
      <c r="C108" s="4">
        <f t="shared" si="6"/>
        <v>6.7154889910144639</v>
      </c>
      <c r="D108" s="4">
        <f t="shared" si="7"/>
        <v>201.14922176317046</v>
      </c>
      <c r="E108" s="4">
        <f t="shared" si="8"/>
        <v>190.17452026406099</v>
      </c>
    </row>
    <row r="109" spans="1:5" x14ac:dyDescent="0.4">
      <c r="A109">
        <v>53</v>
      </c>
      <c r="B109" s="4">
        <f t="shared" si="5"/>
        <v>2.9732269117034451</v>
      </c>
      <c r="C109" s="4">
        <f t="shared" si="6"/>
        <v>6.6918642999979401</v>
      </c>
      <c r="D109" s="4">
        <f t="shared" si="7"/>
        <v>201.15374184529176</v>
      </c>
      <c r="E109" s="4">
        <f t="shared" si="8"/>
        <v>190.21764869358071</v>
      </c>
    </row>
    <row r="110" spans="1:5" x14ac:dyDescent="0.4">
      <c r="A110">
        <v>53.25</v>
      </c>
      <c r="B110" s="4">
        <f t="shared" si="5"/>
        <v>2.9707797941366314</v>
      </c>
      <c r="C110" s="4">
        <f t="shared" si="6"/>
        <v>6.6684382312269763</v>
      </c>
      <c r="D110" s="4">
        <f t="shared" si="7"/>
        <v>201.15790623716654</v>
      </c>
      <c r="E110" s="4">
        <f t="shared" si="8"/>
        <v>190.260096837004</v>
      </c>
    </row>
    <row r="111" spans="1:5" x14ac:dyDescent="0.4">
      <c r="A111">
        <v>53.5</v>
      </c>
      <c r="B111" s="4">
        <f t="shared" si="5"/>
        <v>2.9683439625932504</v>
      </c>
      <c r="C111" s="4">
        <f t="shared" si="6"/>
        <v>6.6452081903369233</v>
      </c>
      <c r="D111" s="4">
        <f t="shared" si="7"/>
        <v>201.16172075196965</v>
      </c>
      <c r="E111" s="4">
        <f t="shared" si="8"/>
        <v>190.30187474731287</v>
      </c>
    </row>
    <row r="112" spans="1:5" x14ac:dyDescent="0.4">
      <c r="A112">
        <v>53.75</v>
      </c>
      <c r="B112" s="4">
        <f t="shared" si="5"/>
        <v>2.9659193108761293</v>
      </c>
      <c r="C112" s="4">
        <f t="shared" si="6"/>
        <v>6.6221716288059946</v>
      </c>
      <c r="D112" s="4">
        <f t="shared" si="7"/>
        <v>201.16519109042051</v>
      </c>
      <c r="E112" s="4">
        <f t="shared" si="8"/>
        <v>190.34299229011563</v>
      </c>
    </row>
    <row r="113" spans="1:5" x14ac:dyDescent="0.4">
      <c r="A113">
        <v>54</v>
      </c>
      <c r="B113" s="4">
        <f t="shared" si="5"/>
        <v>2.9635057342788689</v>
      </c>
      <c r="C113" s="4">
        <f t="shared" si="6"/>
        <v>6.5993260429362763</v>
      </c>
      <c r="D113" s="4">
        <f t="shared" si="7"/>
        <v>201.1683228434099</v>
      </c>
      <c r="E113" s="4">
        <f t="shared" si="8"/>
        <v>190.38345914793922</v>
      </c>
    </row>
    <row r="114" spans="1:5" x14ac:dyDescent="0.4">
      <c r="A114">
        <v>54.25</v>
      </c>
      <c r="B114" s="4">
        <f t="shared" si="5"/>
        <v>2.9611031295580936</v>
      </c>
      <c r="C114" s="4">
        <f t="shared" si="6"/>
        <v>6.5766689728617864</v>
      </c>
      <c r="D114" s="4">
        <f t="shared" si="7"/>
        <v>201.17112149455349</v>
      </c>
      <c r="E114" s="4">
        <f t="shared" si="8"/>
        <v>190.42328482440365</v>
      </c>
    </row>
    <row r="115" spans="1:5" x14ac:dyDescent="0.4">
      <c r="A115">
        <v>54.5</v>
      </c>
      <c r="B115" s="4">
        <f t="shared" si="5"/>
        <v>2.9587113949063486</v>
      </c>
      <c r="C115" s="4">
        <f t="shared" si="6"/>
        <v>6.5541980015830426</v>
      </c>
      <c r="D115" s="4">
        <f t="shared" si="7"/>
        <v>201.17359242267634</v>
      </c>
      <c r="E115" s="4">
        <f t="shared" si="8"/>
        <v>190.46247864828422</v>
      </c>
    </row>
    <row r="116" spans="1:5" x14ac:dyDescent="0.4">
      <c r="A116">
        <v>54.75</v>
      </c>
      <c r="B116" s="4">
        <f t="shared" si="5"/>
        <v>2.9563304299256208</v>
      </c>
      <c r="C116" s="4">
        <f t="shared" si="6"/>
        <v>6.5319107540271792</v>
      </c>
      <c r="D116" s="4">
        <f t="shared" si="7"/>
        <v>201.17574090422815</v>
      </c>
      <c r="E116" s="4">
        <f t="shared" si="8"/>
        <v>190.50104977746298</v>
      </c>
    </row>
    <row r="117" spans="1:5" x14ac:dyDescent="0.4">
      <c r="A117">
        <v>55</v>
      </c>
      <c r="B117" s="4">
        <f t="shared" si="5"/>
        <v>2.95396013560147</v>
      </c>
      <c r="C117" s="4">
        <f t="shared" ref="C117:C148" si="9">1/B117*(2/($B$9+1)*(1 + ($B$9-1)/2*B117^2))^(($B$9+1)/(2*$B$9-2))</f>
        <v>6.5098048961328994</v>
      </c>
      <c r="D117" s="4">
        <f t="shared" si="7"/>
        <v>201.17757211563392</v>
      </c>
      <c r="E117" s="4">
        <f t="shared" si="8"/>
        <v>190.53900720277457</v>
      </c>
    </row>
    <row r="118" spans="1:5" x14ac:dyDescent="0.4">
      <c r="A118">
        <v>55.25</v>
      </c>
      <c r="B118" s="4">
        <f t="shared" si="5"/>
        <v>2.9516004142777414</v>
      </c>
      <c r="C118" s="4">
        <f t="shared" si="9"/>
        <v>6.4878781339593559</v>
      </c>
      <c r="D118" s="4">
        <f t="shared" si="7"/>
        <v>201.17909113557997</v>
      </c>
      <c r="E118" s="4">
        <f t="shared" si="8"/>
        <v>190.57635975174858</v>
      </c>
    </row>
    <row r="119" spans="1:5" x14ac:dyDescent="0.4">
      <c r="A119">
        <v>55.5</v>
      </c>
      <c r="B119" s="4">
        <f t="shared" si="5"/>
        <v>2.9492511696318648</v>
      </c>
      <c r="C119" s="4">
        <f t="shared" si="9"/>
        <v>6.4661282128184974</v>
      </c>
      <c r="D119" s="4">
        <f t="shared" si="7"/>
        <v>201.18030294723891</v>
      </c>
      <c r="E119" s="4">
        <f t="shared" si="8"/>
        <v>190.61311609225265</v>
      </c>
    </row>
    <row r="120" spans="1:5" x14ac:dyDescent="0.4">
      <c r="A120">
        <v>55.75</v>
      </c>
      <c r="B120" s="4">
        <f t="shared" si="5"/>
        <v>2.9469123066507019</v>
      </c>
      <c r="C120" s="4">
        <f t="shared" si="9"/>
        <v>6.4445529164298003</v>
      </c>
      <c r="D120" s="4">
        <f t="shared" si="7"/>
        <v>201.18121244043448</v>
      </c>
      <c r="E120" s="4">
        <f t="shared" si="8"/>
        <v>190.64928473603834</v>
      </c>
    </row>
    <row r="121" spans="1:5" x14ac:dyDescent="0.4">
      <c r="A121">
        <v>56</v>
      </c>
      <c r="B121" s="4">
        <f t="shared" si="5"/>
        <v>2.9445837316069441</v>
      </c>
      <c r="C121" s="4">
        <f t="shared" si="9"/>
        <v>6.4231500660970928</v>
      </c>
      <c r="D121" s="4">
        <f t="shared" si="7"/>
        <v>201.18182441374844</v>
      </c>
      <c r="E121" s="4">
        <f t="shared" si="8"/>
        <v>190.68487404219374</v>
      </c>
    </row>
    <row r="122" spans="1:5" x14ac:dyDescent="0.4">
      <c r="A122">
        <v>56.25</v>
      </c>
      <c r="B122" s="4">
        <f t="shared" si="5"/>
        <v>2.942265352036034</v>
      </c>
      <c r="C122" s="4">
        <f t="shared" si="9"/>
        <v>6.4019175199064478</v>
      </c>
      <c r="D122" s="4">
        <f t="shared" si="7"/>
        <v>201.18214357657158</v>
      </c>
      <c r="E122" s="4">
        <f t="shared" si="8"/>
        <v>190.71989222050482</v>
      </c>
    </row>
    <row r="123" spans="1:5" x14ac:dyDescent="0.4">
      <c r="A123">
        <v>56.5</v>
      </c>
      <c r="B123" s="4">
        <f t="shared" si="5"/>
        <v>2.9399570767136098</v>
      </c>
      <c r="C123" s="4">
        <f t="shared" si="9"/>
        <v>6.3808531719447918</v>
      </c>
      <c r="D123" s="4">
        <f t="shared" si="7"/>
        <v>201.18217455109996</v>
      </c>
      <c r="E123" s="4">
        <f t="shared" si="8"/>
        <v>190.75434733472906</v>
      </c>
    </row>
    <row r="124" spans="1:5" x14ac:dyDescent="0.4">
      <c r="A124">
        <v>56.75</v>
      </c>
      <c r="B124" s="4">
        <f t="shared" si="5"/>
        <v>2.937658815633438</v>
      </c>
      <c r="C124" s="4">
        <f t="shared" si="9"/>
        <v>6.3599549515383815</v>
      </c>
      <c r="D124" s="4">
        <f t="shared" si="7"/>
        <v>201.18192187427871</v>
      </c>
      <c r="E124" s="4">
        <f t="shared" si="8"/>
        <v>190.78824730578344</v>
      </c>
    </row>
    <row r="125" spans="1:5" x14ac:dyDescent="0.4">
      <c r="A125">
        <v>57</v>
      </c>
      <c r="B125" s="4">
        <f t="shared" si="5"/>
        <v>2.9353704799858504</v>
      </c>
      <c r="C125" s="4">
        <f t="shared" si="9"/>
        <v>6.3392208225108284</v>
      </c>
      <c r="D125" s="4">
        <f t="shared" si="7"/>
        <v>201.18138999969443</v>
      </c>
      <c r="E125" s="4">
        <f t="shared" si="8"/>
        <v>190.82159991484971</v>
      </c>
    </row>
    <row r="126" spans="1:5" x14ac:dyDescent="0.4">
      <c r="A126">
        <v>57.25</v>
      </c>
      <c r="B126" s="4">
        <f t="shared" si="5"/>
        <v>2.9330919821366406</v>
      </c>
      <c r="C126" s="4">
        <f t="shared" si="9"/>
        <v>6.3186487824597064</v>
      </c>
      <c r="D126" s="4">
        <f t="shared" si="7"/>
        <v>201.1805832994184</v>
      </c>
      <c r="E126" s="4">
        <f t="shared" si="8"/>
        <v>190.85441280639952</v>
      </c>
    </row>
    <row r="127" spans="1:5" x14ac:dyDescent="0.4">
      <c r="A127">
        <v>57.5</v>
      </c>
      <c r="B127" s="4">
        <f t="shared" si="5"/>
        <v>2.9308232356064314</v>
      </c>
      <c r="C127" s="4">
        <f t="shared" si="9"/>
        <v>6.2982368620516125</v>
      </c>
      <c r="D127" s="4">
        <f t="shared" si="7"/>
        <v>201.17950606580118</v>
      </c>
      <c r="E127" s="4">
        <f t="shared" si="8"/>
        <v>190.88669349114122</v>
      </c>
    </row>
    <row r="128" spans="1:5" x14ac:dyDescent="0.4">
      <c r="A128">
        <v>57.75</v>
      </c>
      <c r="B128" s="4">
        <f t="shared" si="5"/>
        <v>2.9285641550504953</v>
      </c>
      <c r="C128" s="4">
        <f t="shared" si="9"/>
        <v>6.2779831243348401</v>
      </c>
      <c r="D128" s="4">
        <f t="shared" si="7"/>
        <v>201.178162513221</v>
      </c>
      <c r="E128" s="4">
        <f t="shared" si="8"/>
        <v>190.91844934889144</v>
      </c>
    </row>
    <row r="129" spans="1:5" x14ac:dyDescent="0.4">
      <c r="A129">
        <v>58</v>
      </c>
      <c r="B129" s="4">
        <f t="shared" si="5"/>
        <v>2.9263146562390037</v>
      </c>
      <c r="C129" s="4">
        <f t="shared" si="9"/>
        <v>6.2578856640692582</v>
      </c>
      <c r="D129" s="4">
        <f t="shared" si="7"/>
        <v>201.17655677978681</v>
      </c>
      <c r="E129" s="4">
        <f t="shared" si="8"/>
        <v>190.94968763137331</v>
      </c>
    </row>
    <row r="130" spans="1:5" x14ac:dyDescent="0.4">
      <c r="A130">
        <v>58.25</v>
      </c>
      <c r="B130" s="4">
        <f t="shared" si="5"/>
        <v>2.9240746560377135</v>
      </c>
      <c r="C130" s="4">
        <f t="shared" si="9"/>
        <v>6.2379426070728412</v>
      </c>
      <c r="D130" s="4">
        <f t="shared" si="7"/>
        <v>201.17469292899736</v>
      </c>
      <c r="E130" s="4">
        <f t="shared" si="8"/>
        <v>190.98041546494343</v>
      </c>
    </row>
    <row r="131" spans="1:5" x14ac:dyDescent="0.4">
      <c r="A131">
        <v>58.5</v>
      </c>
      <c r="B131" s="4">
        <f t="shared" si="5"/>
        <v>2.9218440723890624</v>
      </c>
      <c r="C131" s="4">
        <f t="shared" si="9"/>
        <v>6.2181521095845165</v>
      </c>
      <c r="D131" s="4">
        <f t="shared" si="7"/>
        <v>201.17257495135775</v>
      </c>
      <c r="E131" s="4">
        <f t="shared" si="8"/>
        <v>191.01063985324973</v>
      </c>
    </row>
    <row r="132" spans="1:5" x14ac:dyDescent="0.4">
      <c r="A132">
        <v>58.75</v>
      </c>
      <c r="B132" s="4">
        <f t="shared" si="5"/>
        <v>2.919622824293675</v>
      </c>
      <c r="C132" s="4">
        <f t="shared" si="9"/>
        <v>6.1985123576426426</v>
      </c>
      <c r="D132" s="4">
        <f t="shared" si="7"/>
        <v>201.17020676595473</v>
      </c>
      <c r="E132" s="4">
        <f t="shared" si="8"/>
        <v>191.04036767982248</v>
      </c>
    </row>
    <row r="133" spans="1:5" x14ac:dyDescent="0.4">
      <c r="A133">
        <v>59</v>
      </c>
      <c r="B133" s="4">
        <f t="shared" si="5"/>
        <v>2.9174108317922611</v>
      </c>
      <c r="C133" s="4">
        <f t="shared" si="9"/>
        <v>6.1790215664787942</v>
      </c>
      <c r="D133" s="4">
        <f t="shared" si="7"/>
        <v>201.1675922219919</v>
      </c>
      <c r="E133" s="4">
        <f t="shared" si="8"/>
        <v>191.06960571060003</v>
      </c>
    </row>
    <row r="134" spans="1:5" x14ac:dyDescent="0.4">
      <c r="A134">
        <v>59.25</v>
      </c>
      <c r="B134" s="4">
        <f t="shared" si="5"/>
        <v>2.9152080159479024</v>
      </c>
      <c r="C134" s="4">
        <f t="shared" si="9"/>
        <v>6.1596779799264256</v>
      </c>
      <c r="D134" s="4">
        <f t="shared" si="7"/>
        <v>201.16473510028575</v>
      </c>
      <c r="E134" s="4">
        <f t="shared" si="8"/>
        <v>191.09836059639159</v>
      </c>
    </row>
    <row r="135" spans="1:5" x14ac:dyDescent="0.4">
      <c r="A135">
        <v>59.5</v>
      </c>
      <c r="B135" s="4">
        <f t="shared" si="5"/>
        <v>2.913014298828704</v>
      </c>
      <c r="C135" s="4">
        <f t="shared" si="9"/>
        <v>6.1404798698438805</v>
      </c>
      <c r="D135" s="4">
        <f t="shared" si="7"/>
        <v>201.16163911472455</v>
      </c>
      <c r="E135" s="4">
        <f t="shared" si="8"/>
        <v>191.12663887527853</v>
      </c>
    </row>
    <row r="136" spans="1:5" x14ac:dyDescent="0.4">
      <c r="A136">
        <v>59.75</v>
      </c>
      <c r="B136" s="4">
        <f t="shared" si="5"/>
        <v>2.9108296034908339</v>
      </c>
      <c r="C136" s="4">
        <f t="shared" si="9"/>
        <v>6.1214255355515625</v>
      </c>
      <c r="D136" s="4">
        <f t="shared" si="7"/>
        <v>201.15830791368978</v>
      </c>
      <c r="E136" s="4">
        <f t="shared" si="8"/>
        <v>191.15444697495624</v>
      </c>
    </row>
    <row r="137" spans="1:5" x14ac:dyDescent="0.4">
      <c r="A137">
        <v>60</v>
      </c>
      <c r="B137" s="4">
        <f t="shared" si="5"/>
        <v>2.9086538539618898</v>
      </c>
      <c r="C137" s="4">
        <f t="shared" si="9"/>
        <v>6.1025133032824757</v>
      </c>
      <c r="D137" s="4">
        <f t="shared" si="7"/>
        <v>201.15474508144243</v>
      </c>
      <c r="E137" s="4">
        <f t="shared" si="8"/>
        <v>191.1817912150178</v>
      </c>
    </row>
    <row r="138" spans="1:5" x14ac:dyDescent="0.4">
      <c r="A138">
        <v>60.25</v>
      </c>
      <c r="B138" s="4">
        <f t="shared" si="5"/>
        <v>2.9064869752246398</v>
      </c>
      <c r="C138" s="4">
        <f t="shared" si="9"/>
        <v>6.0837415256462331</v>
      </c>
      <c r="D138" s="4">
        <f t="shared" si="7"/>
        <v>201.15095413947472</v>
      </c>
      <c r="E138" s="4">
        <f t="shared" si="8"/>
        <v>191.20867780918203</v>
      </c>
    </row>
    <row r="139" spans="1:5" x14ac:dyDescent="0.4">
      <c r="A139">
        <v>60.5</v>
      </c>
      <c r="B139" s="4">
        <f t="shared" si="5"/>
        <v>2.9043288932010847</v>
      </c>
      <c r="C139" s="4">
        <f t="shared" si="9"/>
        <v>6.0651085811057603</v>
      </c>
      <c r="D139" s="4">
        <f t="shared" si="7"/>
        <v>201.14693854782814</v>
      </c>
      <c r="E139" s="4">
        <f t="shared" si="8"/>
        <v>191.23511286746648</v>
      </c>
    </row>
    <row r="140" spans="1:5" x14ac:dyDescent="0.4">
      <c r="A140">
        <v>60.75</v>
      </c>
      <c r="B140" s="4">
        <f t="shared" si="5"/>
        <v>2.90217953473686</v>
      </c>
      <c r="C140" s="4">
        <f t="shared" si="9"/>
        <v>6.0466128734665743</v>
      </c>
      <c r="D140" s="4">
        <f t="shared" si="7"/>
        <v>201.1427017063786</v>
      </c>
      <c r="E140" s="4">
        <f t="shared" si="8"/>
        <v>191.26110239830746</v>
      </c>
    </row>
    <row r="141" spans="1:5" x14ac:dyDescent="0.4">
      <c r="A141">
        <v>61</v>
      </c>
      <c r="B141" s="4">
        <f t="shared" si="5"/>
        <v>2.9000388275859543</v>
      </c>
      <c r="C141" s="4">
        <f t="shared" si="9"/>
        <v>6.02825283137817</v>
      </c>
      <c r="D141" s="4">
        <f t="shared" si="7"/>
        <v>201.13824695609074</v>
      </c>
      <c r="E141" s="4">
        <f t="shared" si="8"/>
        <v>191.2866523106288</v>
      </c>
    </row>
    <row r="142" spans="1:5" x14ac:dyDescent="0.4">
      <c r="A142">
        <v>61.25</v>
      </c>
      <c r="B142" s="4">
        <f t="shared" si="5"/>
        <v>2.8979067003957506</v>
      </c>
      <c r="C142" s="4">
        <f t="shared" si="9"/>
        <v>6.0100269078472435</v>
      </c>
      <c r="D142" s="4">
        <f t="shared" si="7"/>
        <v>201.13357758024017</v>
      </c>
      <c r="E142" s="4">
        <f t="shared" si="8"/>
        <v>191.31176841586012</v>
      </c>
    </row>
    <row r="143" spans="1:5" x14ac:dyDescent="0.4">
      <c r="A143">
        <v>61.5</v>
      </c>
      <c r="B143" s="4">
        <f t="shared" ref="B143:B206" si="10">SQRT(2/($B$9-1)*((A143/$B$3)^((1-$B$9)/$B$9) - 1))</f>
        <v>2.8957830826923616</v>
      </c>
      <c r="C143" s="4">
        <f t="shared" si="9"/>
        <v>5.9919335797623532</v>
      </c>
      <c r="D143" s="4">
        <f t="shared" ref="D143:D206" si="11">$B$6*$B$12/9.81*($B$9*SQRT(2/($B$9-1)*(2/($B$9+1))^(($B$9+1)/($B$9-1))*(1 - (A143/$B$3)^(($B$9-1)/$B$9))) + C143/$B$3*(A143 - $E$5))</f>
        <v>201.12869680560721</v>
      </c>
      <c r="E143" s="4">
        <f t="shared" ref="E143:E206" si="12">$B$6*$B$12/9.81*($B$9*SQRT(2/($B$9-1)*(2/($B$9+1))^(($B$9+1)/($B$9-1))*(1 - (A143/$B$3)^(($B$9-1)/$B$9))) + C143/$B$3*(A143 - $E$4))</f>
        <v>191.33645642990697</v>
      </c>
    </row>
    <row r="144" spans="1:5" x14ac:dyDescent="0.4">
      <c r="A144">
        <v>61.75</v>
      </c>
      <c r="B144" s="4">
        <f t="shared" si="10"/>
        <v>2.893667904866279</v>
      </c>
      <c r="C144" s="4">
        <f t="shared" si="9"/>
        <v>5.9739713474298481</v>
      </c>
      <c r="D144" s="4">
        <f t="shared" si="11"/>
        <v>201.12360780364043</v>
      </c>
      <c r="E144" s="4">
        <f t="shared" si="12"/>
        <v>191.36072197507306</v>
      </c>
    </row>
    <row r="145" spans="1:5" x14ac:dyDescent="0.4">
      <c r="A145">
        <v>62</v>
      </c>
      <c r="B145" s="4">
        <f t="shared" si="10"/>
        <v>2.8915610981582982</v>
      </c>
      <c r="C145" s="4">
        <f t="shared" si="9"/>
        <v>5.9561387341204783</v>
      </c>
      <c r="D145" s="4">
        <f t="shared" si="11"/>
        <v>201.11831369159236</v>
      </c>
      <c r="E145" s="4">
        <f t="shared" si="12"/>
        <v>191.38457058193666</v>
      </c>
    </row>
    <row r="146" spans="1:5" x14ac:dyDescent="0.4">
      <c r="A146">
        <v>62.25</v>
      </c>
      <c r="B146" s="4">
        <f t="shared" si="10"/>
        <v>2.8894625946457437</v>
      </c>
      <c r="C146" s="4">
        <f t="shared" si="9"/>
        <v>5.9384342856267649</v>
      </c>
      <c r="D146" s="4">
        <f t="shared" si="11"/>
        <v>201.11281753362826</v>
      </c>
      <c r="E146" s="4">
        <f t="shared" si="12"/>
        <v>191.40800769118283</v>
      </c>
    </row>
    <row r="147" spans="1:5" x14ac:dyDescent="0.4">
      <c r="A147">
        <v>62.5</v>
      </c>
      <c r="B147" s="4">
        <f t="shared" si="10"/>
        <v>2.8873723272289613</v>
      </c>
      <c r="C147" s="4">
        <f t="shared" si="9"/>
        <v>5.9208565698305291</v>
      </c>
      <c r="D147" s="4">
        <f t="shared" si="11"/>
        <v>201.107122341907</v>
      </c>
      <c r="E147" s="4">
        <f t="shared" si="12"/>
        <v>191.43103865539123</v>
      </c>
    </row>
    <row r="148" spans="1:5" x14ac:dyDescent="0.4">
      <c r="A148">
        <v>62.75</v>
      </c>
      <c r="B148" s="4">
        <f t="shared" si="10"/>
        <v>2.885290229618088</v>
      </c>
      <c r="C148" s="4">
        <f t="shared" si="9"/>
        <v>5.903404176280425</v>
      </c>
      <c r="D148" s="4">
        <f t="shared" si="11"/>
        <v>201.10123107763729</v>
      </c>
      <c r="E148" s="4">
        <f t="shared" si="12"/>
        <v>191.45366874078255</v>
      </c>
    </row>
    <row r="149" spans="1:5" x14ac:dyDescent="0.4">
      <c r="A149">
        <v>63</v>
      </c>
      <c r="B149" s="4">
        <f t="shared" si="10"/>
        <v>2.88321623632008</v>
      </c>
      <c r="C149" s="4">
        <f t="shared" ref="C149:C180" si="13">1/B149*(2/($B$9+1)*(1 + ($B$9-1)/2*B149^2))^(($B$9+1)/(2*$B$9-2))</f>
        <v>5.88607571577925</v>
      </c>
      <c r="D149" s="4">
        <f t="shared" si="11"/>
        <v>201.0951466521079</v>
      </c>
      <c r="E149" s="4">
        <f t="shared" si="12"/>
        <v>191.47590312892316</v>
      </c>
    </row>
    <row r="150" spans="1:5" x14ac:dyDescent="0.4">
      <c r="A150">
        <v>63.25</v>
      </c>
      <c r="B150" s="4">
        <f t="shared" si="10"/>
        <v>2.8811502826260078</v>
      </c>
      <c r="C150" s="4">
        <f t="shared" si="13"/>
        <v>5.8688698199806684</v>
      </c>
      <c r="D150" s="4">
        <f t="shared" si="11"/>
        <v>201.0888719276933</v>
      </c>
      <c r="E150" s="4">
        <f t="shared" si="12"/>
        <v>191.49774691838996</v>
      </c>
    </row>
    <row r="151" spans="1:5" x14ac:dyDescent="0.4">
      <c r="A151">
        <v>63.5</v>
      </c>
      <c r="B151" s="4">
        <f t="shared" si="10"/>
        <v>2.8790923045985948</v>
      </c>
      <c r="C151" s="4">
        <f t="shared" si="13"/>
        <v>5.8517851409951938</v>
      </c>
      <c r="D151" s="4">
        <f t="shared" si="11"/>
        <v>201.08240971883615</v>
      </c>
      <c r="E151" s="4">
        <f t="shared" si="12"/>
        <v>191.51920512639666</v>
      </c>
    </row>
    <row r="152" spans="1:5" x14ac:dyDescent="0.4">
      <c r="A152">
        <v>63.75</v>
      </c>
      <c r="B152" s="4">
        <f t="shared" si="10"/>
        <v>2.8770422390600081</v>
      </c>
      <c r="C152" s="4">
        <f t="shared" si="13"/>
        <v>5.8348203510050736</v>
      </c>
      <c r="D152" s="4">
        <f t="shared" si="11"/>
        <v>201.07576279300568</v>
      </c>
      <c r="E152" s="4">
        <f t="shared" si="12"/>
        <v>191.54028269038156</v>
      </c>
    </row>
    <row r="153" spans="1:5" x14ac:dyDescent="0.4">
      <c r="A153">
        <v>64</v>
      </c>
      <c r="B153" s="4">
        <f t="shared" si="10"/>
        <v>2.8750000235798865</v>
      </c>
      <c r="C153" s="4">
        <f t="shared" si="13"/>
        <v>5.8179741418879791</v>
      </c>
      <c r="D153" s="4">
        <f t="shared" si="11"/>
        <v>201.0689338716341</v>
      </c>
      <c r="E153" s="4">
        <f t="shared" si="12"/>
        <v>191.56098446955895</v>
      </c>
    </row>
    <row r="154" spans="1:5" x14ac:dyDescent="0.4">
      <c r="A154">
        <v>64.25</v>
      </c>
      <c r="B154" s="4">
        <f t="shared" si="10"/>
        <v>2.8729655964636045</v>
      </c>
      <c r="C154" s="4">
        <f t="shared" si="13"/>
        <v>5.8012452248491169</v>
      </c>
      <c r="D154" s="4">
        <f t="shared" si="11"/>
        <v>201.06192563103085</v>
      </c>
      <c r="E154" s="4">
        <f t="shared" si="12"/>
        <v>191.58131524643468</v>
      </c>
    </row>
    <row r="155" spans="1:5" x14ac:dyDescent="0.4">
      <c r="A155">
        <v>64.5</v>
      </c>
      <c r="B155" s="4">
        <f t="shared" si="10"/>
        <v>2.8709388967407685</v>
      </c>
      <c r="C155" s="4">
        <f t="shared" si="13"/>
        <v>5.7846323300617009</v>
      </c>
      <c r="D155" s="4">
        <f t="shared" si="11"/>
        <v>201.0547407032758</v>
      </c>
      <c r="E155" s="4">
        <f t="shared" si="12"/>
        <v>191.60127972828656</v>
      </c>
    </row>
    <row r="156" spans="1:5" x14ac:dyDescent="0.4">
      <c r="A156">
        <v>64.75</v>
      </c>
      <c r="B156" s="4">
        <f t="shared" si="10"/>
        <v>2.8689198641539289</v>
      </c>
      <c r="C156" s="4">
        <f t="shared" si="13"/>
        <v>5.7681342063153815</v>
      </c>
      <c r="D156" s="4">
        <f t="shared" si="11"/>
        <v>201.04738167709081</v>
      </c>
      <c r="E156" s="4">
        <f t="shared" si="12"/>
        <v>191.62088254861095</v>
      </c>
    </row>
    <row r="157" spans="1:5" x14ac:dyDescent="0.4">
      <c r="A157">
        <v>65</v>
      </c>
      <c r="B157" s="4">
        <f t="shared" si="10"/>
        <v>2.8669084391475175</v>
      </c>
      <c r="C157" s="4">
        <f t="shared" si="13"/>
        <v>5.7517496206725625</v>
      </c>
      <c r="D157" s="4">
        <f t="shared" si="11"/>
        <v>201.03985109869211</v>
      </c>
      <c r="E157" s="4">
        <f t="shared" si="12"/>
        <v>191.6401282685365</v>
      </c>
    </row>
    <row r="158" spans="1:5" x14ac:dyDescent="0.4">
      <c r="A158">
        <v>65.25</v>
      </c>
      <c r="B158" s="4">
        <f t="shared" si="10"/>
        <v>2.8649045628570007</v>
      </c>
      <c r="C158" s="4">
        <f t="shared" si="13"/>
        <v>5.7354773581324263</v>
      </c>
      <c r="D158" s="4">
        <f t="shared" si="11"/>
        <v>201.03215147262236</v>
      </c>
      <c r="E158" s="4">
        <f t="shared" si="12"/>
        <v>191.6590213782053</v>
      </c>
    </row>
    <row r="159" spans="1:5" x14ac:dyDescent="0.4">
      <c r="A159">
        <v>65.5</v>
      </c>
      <c r="B159" s="4">
        <f t="shared" si="10"/>
        <v>2.8629081770982339</v>
      </c>
      <c r="C159" s="4">
        <f t="shared" si="13"/>
        <v>5.7193162213022548</v>
      </c>
      <c r="D159" s="4">
        <f t="shared" si="11"/>
        <v>201.02428526256352</v>
      </c>
      <c r="E159" s="4">
        <f t="shared" si="12"/>
        <v>191.67756629812294</v>
      </c>
    </row>
    <row r="160" spans="1:5" x14ac:dyDescent="0.4">
      <c r="A160">
        <v>65.75</v>
      </c>
      <c r="B160" s="4">
        <f t="shared" si="10"/>
        <v>2.8609192243570223</v>
      </c>
      <c r="C160" s="4">
        <f t="shared" si="13"/>
        <v>5.7032650300761247</v>
      </c>
      <c r="D160" s="4">
        <f t="shared" si="11"/>
        <v>201.01625489213151</v>
      </c>
      <c r="E160" s="4">
        <f t="shared" si="12"/>
        <v>191.69576738047834</v>
      </c>
    </row>
    <row r="161" spans="1:6" x14ac:dyDescent="0.4">
      <c r="A161">
        <v>66</v>
      </c>
      <c r="B161" s="4">
        <f t="shared" si="10"/>
        <v>2.858937647778887</v>
      </c>
      <c r="C161" s="4">
        <f t="shared" si="13"/>
        <v>5.6873226213206269</v>
      </c>
      <c r="D161" s="4">
        <f t="shared" si="11"/>
        <v>201.00806274565238</v>
      </c>
      <c r="E161" s="4">
        <f t="shared" si="12"/>
        <v>191.71362891043321</v>
      </c>
    </row>
    <row r="162" spans="1:6" x14ac:dyDescent="0.4">
      <c r="A162">
        <v>66.25</v>
      </c>
      <c r="B162" s="4">
        <f t="shared" si="10"/>
        <v>2.8569633911590162</v>
      </c>
      <c r="C162" s="4">
        <f t="shared" si="13"/>
        <v>5.6714878485674252</v>
      </c>
      <c r="D162" s="4">
        <f t="shared" si="11"/>
        <v>200.99971116892061</v>
      </c>
      <c r="E162" s="4">
        <f t="shared" si="12"/>
        <v>191.73115510738333</v>
      </c>
    </row>
    <row r="163" spans="1:6" x14ac:dyDescent="0.4">
      <c r="A163">
        <v>66.5</v>
      </c>
      <c r="B163" s="4">
        <f t="shared" si="10"/>
        <v>2.8549963989324159</v>
      </c>
      <c r="C163" s="4">
        <f t="shared" si="13"/>
        <v>5.655759581712597</v>
      </c>
      <c r="D163" s="4">
        <f t="shared" si="11"/>
        <v>200.99120246994079</v>
      </c>
      <c r="E163" s="4">
        <f t="shared" si="12"/>
        <v>191.74835012619101</v>
      </c>
    </row>
    <row r="164" spans="1:6" x14ac:dyDescent="0.4">
      <c r="A164">
        <v>66.75</v>
      </c>
      <c r="B164" s="4">
        <f t="shared" si="10"/>
        <v>2.8530366161642391</v>
      </c>
      <c r="C164" s="4">
        <f t="shared" si="13"/>
        <v>5.6401367067224424</v>
      </c>
      <c r="D164" s="4">
        <f t="shared" si="11"/>
        <v>200.982538919652</v>
      </c>
      <c r="E164" s="4">
        <f t="shared" si="12"/>
        <v>191.76521805839056</v>
      </c>
    </row>
    <row r="165" spans="1:6" x14ac:dyDescent="0.4">
      <c r="A165">
        <v>67</v>
      </c>
      <c r="B165" s="4">
        <f t="shared" si="10"/>
        <v>2.8510839885403003</v>
      </c>
      <c r="C165" s="4">
        <f t="shared" si="13"/>
        <v>5.6246181253456822</v>
      </c>
      <c r="D165" s="4">
        <f t="shared" si="11"/>
        <v>200.97372275263601</v>
      </c>
      <c r="E165" s="4">
        <f t="shared" si="12"/>
        <v>191.78176293336685</v>
      </c>
    </row>
    <row r="166" spans="1:6" x14ac:dyDescent="0.4">
      <c r="A166">
        <v>67.25</v>
      </c>
      <c r="B166" s="4">
        <f t="shared" si="10"/>
        <v>2.8491384623577689</v>
      </c>
      <c r="C166" s="4">
        <f t="shared" si="13"/>
        <v>5.6092027548318972</v>
      </c>
      <c r="D166" s="4">
        <f t="shared" si="11"/>
        <v>200.96475616780967</v>
      </c>
      <c r="E166" s="4">
        <f t="shared" si="12"/>
        <v>191.79798871950757</v>
      </c>
    </row>
    <row r="167" spans="1:6" x14ac:dyDescent="0.4">
      <c r="A167">
        <v>67.5</v>
      </c>
      <c r="B167" s="4">
        <f t="shared" si="10"/>
        <v>2.847199984516033</v>
      </c>
      <c r="C167" s="4">
        <f t="shared" si="13"/>
        <v>5.5938895276559393</v>
      </c>
      <c r="D167" s="4">
        <f t="shared" si="11"/>
        <v>200.95564132910187</v>
      </c>
      <c r="E167" s="4">
        <f t="shared" si="12"/>
        <v>191.81389932533088</v>
      </c>
    </row>
    <row r="168" spans="1:6" x14ac:dyDescent="0.4">
      <c r="A168">
        <v>67.75</v>
      </c>
      <c r="B168" s="4">
        <f t="shared" si="10"/>
        <v>2.8452685025077358</v>
      </c>
      <c r="C168" s="4">
        <f t="shared" si="13"/>
        <v>5.5786773912483438</v>
      </c>
      <c r="D168" s="4">
        <f t="shared" si="11"/>
        <v>200.94638036611505</v>
      </c>
      <c r="E168" s="4">
        <f t="shared" si="12"/>
        <v>191.82949860058741</v>
      </c>
    </row>
    <row r="169" spans="1:6" x14ac:dyDescent="0.4">
      <c r="A169">
        <v>68</v>
      </c>
      <c r="B169" s="4">
        <f t="shared" si="10"/>
        <v>2.8433439644099767</v>
      </c>
      <c r="C169" s="4">
        <f t="shared" si="13"/>
        <v>5.5635653077313814</v>
      </c>
      <c r="D169" s="4">
        <f t="shared" si="11"/>
        <v>200.93697537477243</v>
      </c>
      <c r="E169" s="4">
        <f t="shared" si="12"/>
        <v>191.84479033733865</v>
      </c>
    </row>
    <row r="170" spans="1:6" x14ac:dyDescent="0.4">
      <c r="A170">
        <v>68.25</v>
      </c>
      <c r="B170" s="4">
        <f t="shared" si="10"/>
        <v>2.8414263188756741</v>
      </c>
      <c r="C170" s="4">
        <f t="shared" si="13"/>
        <v>5.5485522536608478</v>
      </c>
      <c r="D170" s="4">
        <f t="shared" si="11"/>
        <v>200.92742841795055</v>
      </c>
      <c r="E170" s="4">
        <f t="shared" si="12"/>
        <v>191.85977827101166</v>
      </c>
    </row>
    <row r="171" spans="1:6" x14ac:dyDescent="0.4">
      <c r="A171">
        <v>68.5</v>
      </c>
      <c r="B171" s="4">
        <f t="shared" si="10"/>
        <v>2.8395155151250897</v>
      </c>
      <c r="C171" s="4">
        <f t="shared" si="13"/>
        <v>5.5336372197731709</v>
      </c>
      <c r="D171" s="4">
        <f t="shared" si="11"/>
        <v>200.9177415260983</v>
      </c>
      <c r="E171" s="4">
        <f t="shared" si="12"/>
        <v>191.87446608143131</v>
      </c>
    </row>
    <row r="172" spans="1:6" x14ac:dyDescent="0.4">
      <c r="A172">
        <v>68.75</v>
      </c>
      <c r="B172" s="4">
        <f t="shared" si="10"/>
        <v>2.8376115029375075</v>
      </c>
      <c r="C172" s="4">
        <f t="shared" si="13"/>
        <v>5.5188192107379974</v>
      </c>
      <c r="D172" s="4">
        <f t="shared" si="11"/>
        <v>200.90791669784173</v>
      </c>
      <c r="E172" s="4">
        <f t="shared" si="12"/>
        <v>191.88885739382957</v>
      </c>
    </row>
    <row r="173" spans="1:6" x14ac:dyDescent="0.4">
      <c r="A173">
        <v>69</v>
      </c>
      <c r="B173" s="4">
        <f t="shared" si="10"/>
        <v>2.8357142326430602</v>
      </c>
      <c r="C173" s="4">
        <f t="shared" si="13"/>
        <v>5.504097244915882</v>
      </c>
      <c r="D173" s="4">
        <f t="shared" si="11"/>
        <v>200.89795590057631</v>
      </c>
      <c r="E173" s="4">
        <f t="shared" si="12"/>
        <v>191.90295577983341</v>
      </c>
    </row>
    <row r="174" spans="1:6" x14ac:dyDescent="0.4">
      <c r="A174">
        <v>69.25</v>
      </c>
      <c r="B174" s="4">
        <f t="shared" si="10"/>
        <v>2.8338236551147094</v>
      </c>
      <c r="C174" s="4">
        <f t="shared" si="13"/>
        <v>5.4894703541210719</v>
      </c>
      <c r="D174" s="4">
        <f t="shared" si="11"/>
        <v>200.88786107104536</v>
      </c>
      <c r="E174" s="4">
        <f t="shared" si="12"/>
        <v>191.91676475843144</v>
      </c>
    </row>
    <row r="175" spans="1:6" x14ac:dyDescent="0.4">
      <c r="A175">
        <v>69.5</v>
      </c>
      <c r="B175" s="4">
        <f t="shared" si="10"/>
        <v>2.8319397217603712</v>
      </c>
      <c r="C175" s="4">
        <f t="shared" si="13"/>
        <v>5.4749375833892939</v>
      </c>
      <c r="D175" s="4">
        <f t="shared" si="11"/>
        <v>200.87763411590714</v>
      </c>
      <c r="E175" s="4">
        <f t="shared" si="12"/>
        <v>191.93028779691983</v>
      </c>
    </row>
    <row r="176" spans="1:6" x14ac:dyDescent="0.4">
      <c r="A176" s="12">
        <f>E5</f>
        <v>56.401942621880451</v>
      </c>
      <c r="B176" s="12">
        <f t="shared" si="10"/>
        <v>2.9408612518409822</v>
      </c>
      <c r="C176" s="12">
        <f t="shared" si="13"/>
        <v>6.3890953159108639</v>
      </c>
      <c r="D176" s="12">
        <f t="shared" si="11"/>
        <v>201.18219646024923</v>
      </c>
      <c r="E176" s="12">
        <f t="shared" si="12"/>
        <v>190.7408996261243</v>
      </c>
      <c r="F176" s="2" t="s">
        <v>61</v>
      </c>
    </row>
    <row r="177" spans="1:5" x14ac:dyDescent="0.4">
      <c r="A177">
        <v>69.75</v>
      </c>
      <c r="B177" s="4">
        <f t="shared" si="10"/>
        <v>2.8300623845151796</v>
      </c>
      <c r="C177" s="4">
        <f t="shared" si="13"/>
        <v>5.4604979907502873</v>
      </c>
      <c r="D177" s="4">
        <f t="shared" si="11"/>
        <v>200.86727691228825</v>
      </c>
      <c r="E177" s="4">
        <f t="shared" si="12"/>
        <v>191.94352831182803</v>
      </c>
    </row>
    <row r="178" spans="1:5" x14ac:dyDescent="0.4">
      <c r="A178">
        <v>70</v>
      </c>
      <c r="B178" s="4">
        <f t="shared" si="10"/>
        <v>2.8281915958338923</v>
      </c>
      <c r="C178" s="4">
        <f t="shared" si="13"/>
        <v>5.4461506470051182</v>
      </c>
      <c r="D178" s="4">
        <f t="shared" si="11"/>
        <v>200.85679130832602</v>
      </c>
      <c r="E178" s="4">
        <f t="shared" si="12"/>
        <v>191.9564896698248</v>
      </c>
    </row>
    <row r="179" spans="1:5" x14ac:dyDescent="0.4">
      <c r="A179">
        <v>70.25</v>
      </c>
      <c r="B179" s="4">
        <f t="shared" si="10"/>
        <v>2.8263273086834362</v>
      </c>
      <c r="C179" s="4">
        <f t="shared" si="13"/>
        <v>5.431894635508054</v>
      </c>
      <c r="D179" s="4">
        <f t="shared" si="11"/>
        <v>200.84617912369907</v>
      </c>
      <c r="E179" s="4">
        <f t="shared" si="12"/>
        <v>191.96917518860522</v>
      </c>
    </row>
    <row r="180" spans="1:5" x14ac:dyDescent="0.4">
      <c r="A180">
        <v>70.5</v>
      </c>
      <c r="B180" s="4">
        <f t="shared" si="10"/>
        <v>2.8244694765355742</v>
      </c>
      <c r="C180" s="4">
        <f t="shared" si="13"/>
        <v>5.4177290519529437</v>
      </c>
      <c r="D180" s="4">
        <f t="shared" si="11"/>
        <v>200.83544215014592</v>
      </c>
      <c r="E180" s="4">
        <f t="shared" si="12"/>
        <v>191.98158813775851</v>
      </c>
    </row>
    <row r="181" spans="1:5" x14ac:dyDescent="0.4">
      <c r="A181">
        <v>70.75</v>
      </c>
      <c r="B181" s="4">
        <f t="shared" si="10"/>
        <v>2.82261805335972</v>
      </c>
      <c r="C181" s="4">
        <f t="shared" ref="C181:C198" si="14">1/B181*(2/($B$9+1)*(1 + ($B$9-1)/2*B181^2))^(($B$9+1)/(2*$B$9-2))</f>
        <v>5.4036530041639619</v>
      </c>
      <c r="D181" s="4">
        <f t="shared" si="11"/>
        <v>200.82458215197352</v>
      </c>
      <c r="E181" s="4">
        <f t="shared" si="12"/>
        <v>191.99373173961854</v>
      </c>
    </row>
    <row r="182" spans="1:5" x14ac:dyDescent="0.4">
      <c r="A182">
        <v>71</v>
      </c>
      <c r="B182" s="4">
        <f t="shared" si="10"/>
        <v>2.8207729936158614</v>
      </c>
      <c r="C182" s="4">
        <f t="shared" si="14"/>
        <v>5.3896656118906341</v>
      </c>
      <c r="D182" s="4">
        <f t="shared" si="11"/>
        <v>200.81360086655366</v>
      </c>
      <c r="E182" s="4">
        <f t="shared" si="12"/>
        <v>192.005609170095</v>
      </c>
    </row>
    <row r="183" spans="1:5" x14ac:dyDescent="0.4">
      <c r="A183">
        <v>71.25</v>
      </c>
      <c r="B183" s="4">
        <f t="shared" si="10"/>
        <v>2.8189342522476251</v>
      </c>
      <c r="C183" s="4">
        <f t="shared" si="14"/>
        <v>5.3757660066070372</v>
      </c>
      <c r="D183" s="4">
        <f t="shared" si="11"/>
        <v>200.80250000481007</v>
      </c>
      <c r="E183" s="4">
        <f t="shared" si="12"/>
        <v>192.01722355948908</v>
      </c>
    </row>
    <row r="184" spans="1:5" x14ac:dyDescent="0.4">
      <c r="A184">
        <v>71.5</v>
      </c>
      <c r="B184" s="4">
        <f t="shared" si="10"/>
        <v>2.8171017846754522</v>
      </c>
      <c r="C184" s="4">
        <f t="shared" si="14"/>
        <v>5.3619533313150729</v>
      </c>
      <c r="D184" s="4">
        <f t="shared" si="11"/>
        <v>200.7912812516943</v>
      </c>
      <c r="E184" s="4">
        <f t="shared" si="12"/>
        <v>192.02857799329033</v>
      </c>
    </row>
    <row r="185" spans="1:5" x14ac:dyDescent="0.4">
      <c r="A185">
        <v>71.75</v>
      </c>
      <c r="B185" s="4">
        <f t="shared" si="10"/>
        <v>2.8152755467899029</v>
      </c>
      <c r="C185" s="4">
        <f t="shared" si="14"/>
        <v>5.3482267403517225</v>
      </c>
      <c r="D185" s="4">
        <f t="shared" si="11"/>
        <v>200.77994626665196</v>
      </c>
      <c r="E185" s="4">
        <f t="shared" si="12"/>
        <v>192.0396755129583</v>
      </c>
    </row>
    <row r="186" spans="1:5" x14ac:dyDescent="0.4">
      <c r="A186">
        <v>72</v>
      </c>
      <c r="B186" s="4">
        <f t="shared" si="10"/>
        <v>2.8134554949450656</v>
      </c>
      <c r="C186" s="4">
        <f t="shared" si="14"/>
        <v>5.3345853992001455</v>
      </c>
      <c r="D186" s="4">
        <f t="shared" si="11"/>
        <v>200.76849668407911</v>
      </c>
      <c r="E186" s="4">
        <f t="shared" si="12"/>
        <v>192.05051911668752</v>
      </c>
    </row>
    <row r="187" spans="1:5" x14ac:dyDescent="0.4">
      <c r="A187">
        <v>72.25</v>
      </c>
      <c r="B187" s="4">
        <f t="shared" si="10"/>
        <v>2.8116415859520973</v>
      </c>
      <c r="C187" s="4">
        <f t="shared" si="14"/>
        <v>5.3210284843046471</v>
      </c>
      <c r="D187" s="4">
        <f t="shared" si="11"/>
        <v>200.75693411376909</v>
      </c>
      <c r="E187" s="4">
        <f t="shared" si="12"/>
        <v>192.06111176015659</v>
      </c>
    </row>
    <row r="188" spans="1:5" x14ac:dyDescent="0.4">
      <c r="A188">
        <v>72.5</v>
      </c>
      <c r="B188" s="4">
        <f t="shared" si="10"/>
        <v>2.8098337770728614</v>
      </c>
      <c r="C188" s="4">
        <f t="shared" si="14"/>
        <v>5.30755518288926</v>
      </c>
      <c r="D188" s="4">
        <f t="shared" si="11"/>
        <v>200.74526014134977</v>
      </c>
      <c r="E188" s="4">
        <f t="shared" si="12"/>
        <v>192.07145635726204</v>
      </c>
    </row>
    <row r="189" spans="1:5" x14ac:dyDescent="0.4">
      <c r="A189">
        <v>72.75</v>
      </c>
      <c r="B189" s="4">
        <f t="shared" si="10"/>
        <v>2.8080320260136844</v>
      </c>
      <c r="C189" s="4">
        <f t="shared" si="14"/>
        <v>5.2941646927800052</v>
      </c>
      <c r="D189" s="4">
        <f t="shared" si="11"/>
        <v>200.73347632871204</v>
      </c>
      <c r="E189" s="4">
        <f t="shared" si="12"/>
        <v>192.08155578083725</v>
      </c>
    </row>
    <row r="190" spans="1:5" x14ac:dyDescent="0.4">
      <c r="A190">
        <v>73</v>
      </c>
      <c r="B190" s="4">
        <f t="shared" si="10"/>
        <v>2.8062362909192169</v>
      </c>
      <c r="C190" s="4">
        <f t="shared" si="14"/>
        <v>5.2808562222306454</v>
      </c>
      <c r="D190" s="4">
        <f t="shared" si="11"/>
        <v>200.72158421442919</v>
      </c>
      <c r="E190" s="4">
        <f t="shared" si="12"/>
        <v>192.09141286335665</v>
      </c>
    </row>
    <row r="191" spans="1:5" x14ac:dyDescent="0.4">
      <c r="A191">
        <v>73.25</v>
      </c>
      <c r="B191" s="4">
        <f t="shared" si="10"/>
        <v>2.8044465303664019</v>
      </c>
      <c r="C191" s="4">
        <f t="shared" si="14"/>
        <v>5.2676289897519446</v>
      </c>
      <c r="D191" s="4">
        <f t="shared" si="11"/>
        <v>200.7095853141677</v>
      </c>
      <c r="E191" s="4">
        <f t="shared" si="12"/>
        <v>192.10103039762538</v>
      </c>
    </row>
    <row r="192" spans="1:5" x14ac:dyDescent="0.4">
      <c r="A192">
        <v>73.5</v>
      </c>
      <c r="B192" s="4">
        <f t="shared" si="10"/>
        <v>2.8026627033585441</v>
      </c>
      <c r="C192" s="4">
        <f t="shared" si="14"/>
        <v>5.2544822239442013</v>
      </c>
      <c r="D192" s="4">
        <f t="shared" si="11"/>
        <v>200.69748112108911</v>
      </c>
      <c r="E192" s="4">
        <f t="shared" si="12"/>
        <v>192.11041113745517</v>
      </c>
    </row>
    <row r="193" spans="1:5" x14ac:dyDescent="0.4">
      <c r="A193">
        <v>73.75</v>
      </c>
      <c r="B193" s="4">
        <f t="shared" si="10"/>
        <v>2.8008847693194823</v>
      </c>
      <c r="C193" s="4">
        <f t="shared" si="14"/>
        <v>5.2414151633331647</v>
      </c>
      <c r="D193" s="4">
        <f t="shared" si="11"/>
        <v>200.68527310624469</v>
      </c>
      <c r="E193" s="4">
        <f t="shared" si="12"/>
        <v>192.11955779832667</v>
      </c>
    </row>
    <row r="194" spans="1:5" x14ac:dyDescent="0.4">
      <c r="A194">
        <v>74</v>
      </c>
      <c r="B194" s="4">
        <f t="shared" si="10"/>
        <v>2.7991126880878623</v>
      </c>
      <c r="C194" s="4">
        <f t="shared" si="14"/>
        <v>5.2284270562091306</v>
      </c>
      <c r="D194" s="4">
        <f t="shared" si="11"/>
        <v>200.67296271896072</v>
      </c>
      <c r="E194" s="4">
        <f t="shared" si="12"/>
        <v>192.12847305803811</v>
      </c>
    </row>
    <row r="195" spans="1:5" x14ac:dyDescent="0.4">
      <c r="A195">
        <v>74.25</v>
      </c>
      <c r="B195" s="4">
        <f t="shared" si="10"/>
        <v>2.7973464199115021</v>
      </c>
      <c r="C195" s="4">
        <f t="shared" si="14"/>
        <v>5.2155171604691732</v>
      </c>
      <c r="D195" s="4">
        <f t="shared" si="11"/>
        <v>200.660551387217</v>
      </c>
      <c r="E195" s="4">
        <f t="shared" si="12"/>
        <v>192.13715955734142</v>
      </c>
    </row>
    <row r="196" spans="1:5" x14ac:dyDescent="0.4">
      <c r="A196">
        <v>74.5</v>
      </c>
      <c r="B196" s="4">
        <f t="shared" si="10"/>
        <v>2.7955859254418574</v>
      </c>
      <c r="C196" s="4">
        <f t="shared" si="14"/>
        <v>5.2026847434624486</v>
      </c>
      <c r="D196" s="4">
        <f t="shared" si="11"/>
        <v>200.64804051801664</v>
      </c>
      <c r="E196" s="4">
        <f t="shared" si="12"/>
        <v>192.14561990056495</v>
      </c>
    </row>
    <row r="197" spans="1:5" x14ac:dyDescent="0.4">
      <c r="A197">
        <v>74.75</v>
      </c>
      <c r="B197" s="4">
        <f t="shared" si="10"/>
        <v>2.7938311657285775</v>
      </c>
      <c r="C197" s="4">
        <f t="shared" si="14"/>
        <v>5.1899290818385202</v>
      </c>
      <c r="D197" s="4">
        <f t="shared" si="11"/>
        <v>200.63543149774924</v>
      </c>
      <c r="E197" s="4">
        <f t="shared" si="12"/>
        <v>192.15385665622443</v>
      </c>
    </row>
    <row r="198" spans="1:5" x14ac:dyDescent="0.4">
      <c r="A198">
        <v>75</v>
      </c>
      <c r="B198" s="4">
        <f t="shared" si="10"/>
        <v>2.7920821022141546</v>
      </c>
      <c r="C198" s="4">
        <f t="shared" si="14"/>
        <v>5.1772494613986009</v>
      </c>
      <c r="D198" s="4">
        <f t="shared" si="11"/>
        <v>200.6227256925462</v>
      </c>
      <c r="E198" s="4">
        <f t="shared" si="12"/>
        <v>192.16187235762149</v>
      </c>
    </row>
    <row r="199" spans="1:5" x14ac:dyDescent="0.4">
      <c r="A199">
        <v>75.25</v>
      </c>
      <c r="B199" s="4">
        <f t="shared" si="10"/>
        <v>2.7903386967286616</v>
      </c>
      <c r="C199" s="4">
        <f t="shared" ref="C199:C238" si="15">1/B199*(2/($B$9+1)*(1 + ($B$9-1)/2*B199^2))^(($B$9+1)/(2*$B$9-2))</f>
        <v>5.1646451769496657</v>
      </c>
      <c r="D199" s="4">
        <f t="shared" si="11"/>
        <v>200.60992444862904</v>
      </c>
      <c r="E199" s="4">
        <f t="shared" si="12"/>
        <v>192.16966950343024</v>
      </c>
    </row>
    <row r="200" spans="1:5" x14ac:dyDescent="0.4">
      <c r="A200">
        <v>75.5</v>
      </c>
      <c r="B200" s="4">
        <f t="shared" si="10"/>
        <v>2.7886009114845733</v>
      </c>
      <c r="C200" s="4">
        <f t="shared" si="15"/>
        <v>5.1521155321613499</v>
      </c>
      <c r="D200" s="4">
        <f t="shared" si="11"/>
        <v>200.5970290926505</v>
      </c>
      <c r="E200" s="4">
        <f t="shared" si="12"/>
        <v>192.17725055827236</v>
      </c>
    </row>
    <row r="201" spans="1:5" x14ac:dyDescent="0.4">
      <c r="A201">
        <v>75.75</v>
      </c>
      <c r="B201" s="4">
        <f t="shared" si="10"/>
        <v>2.786868709071685</v>
      </c>
      <c r="C201" s="4">
        <f t="shared" si="15"/>
        <v>5.1396598394256214</v>
      </c>
      <c r="D201" s="4">
        <f t="shared" si="11"/>
        <v>200.58404093202918</v>
      </c>
      <c r="E201" s="4">
        <f t="shared" si="12"/>
        <v>192.18461795328102</v>
      </c>
    </row>
    <row r="202" spans="1:5" x14ac:dyDescent="0.4">
      <c r="A202">
        <v>76</v>
      </c>
      <c r="B202" s="4">
        <f t="shared" si="10"/>
        <v>2.7851420524521036</v>
      </c>
      <c r="C202" s="4">
        <f t="shared" si="15"/>
        <v>5.1272774197191104</v>
      </c>
      <c r="D202" s="4">
        <f t="shared" si="11"/>
        <v>200.5709612552771</v>
      </c>
      <c r="E202" s="4">
        <f t="shared" si="12"/>
        <v>192.19177408665348</v>
      </c>
    </row>
    <row r="203" spans="1:5" x14ac:dyDescent="0.4">
      <c r="A203">
        <v>76.25</v>
      </c>
      <c r="B203" s="4">
        <f t="shared" si="10"/>
        <v>2.783420904955324</v>
      </c>
      <c r="C203" s="4">
        <f t="shared" si="15"/>
        <v>5.1149676024680204</v>
      </c>
      <c r="D203" s="4">
        <f t="shared" si="11"/>
        <v>200.5577913323209</v>
      </c>
      <c r="E203" s="4">
        <f t="shared" si="12"/>
        <v>192.198721324193</v>
      </c>
    </row>
    <row r="204" spans="1:5" x14ac:dyDescent="0.4">
      <c r="A204">
        <v>76.5</v>
      </c>
      <c r="B204" s="4">
        <f t="shared" si="10"/>
        <v>2.7817052302733951</v>
      </c>
      <c r="C204" s="4">
        <f t="shared" si="15"/>
        <v>5.1027297254157054</v>
      </c>
      <c r="D204" s="4">
        <f t="shared" si="11"/>
        <v>200.54453241481664</v>
      </c>
      <c r="E204" s="4">
        <f t="shared" si="12"/>
        <v>192.20546199984</v>
      </c>
    </row>
    <row r="205" spans="1:5" x14ac:dyDescent="0.4">
      <c r="A205">
        <v>76.75</v>
      </c>
      <c r="B205" s="4">
        <f t="shared" si="10"/>
        <v>2.7799949924561544</v>
      </c>
      <c r="C205" s="4">
        <f t="shared" si="15"/>
        <v>5.0905631344926112</v>
      </c>
      <c r="D205" s="4">
        <f t="shared" si="11"/>
        <v>200.53118573645864</v>
      </c>
      <c r="E205" s="4">
        <f t="shared" si="12"/>
        <v>192.21199841619352</v>
      </c>
    </row>
    <row r="206" spans="1:5" x14ac:dyDescent="0.4">
      <c r="A206">
        <v>77</v>
      </c>
      <c r="B206" s="4">
        <f t="shared" si="10"/>
        <v>2.7782901559065438</v>
      </c>
      <c r="C206" s="4">
        <f t="shared" si="15"/>
        <v>5.0784671836887849</v>
      </c>
      <c r="D206" s="4">
        <f t="shared" si="11"/>
        <v>200.51775251328138</v>
      </c>
      <c r="E206" s="4">
        <f t="shared" si="12"/>
        <v>192.21833284502159</v>
      </c>
    </row>
    <row r="207" spans="1:5" x14ac:dyDescent="0.4">
      <c r="A207">
        <v>77.25</v>
      </c>
      <c r="B207" s="4">
        <f t="shared" ref="B207:B270" si="16">SQRT(2/($B$9-1)*((A207/$B$3)^((1-$B$9)/$B$9) - 1))</f>
        <v>2.7765906853760045</v>
      </c>
      <c r="C207" s="4">
        <f t="shared" si="15"/>
        <v>5.066441234928698</v>
      </c>
      <c r="D207" s="4">
        <f t="shared" ref="D207:D270" si="17">$B$6*$B$12/9.81*($B$9*SQRT(2/($B$9-1)*(2/($B$9+1))^(($B$9+1)/($B$9-1))*(1 - (A207/$B$3)^(($B$9-1)/$B$9))) + C207/$B$3*(A207 - $E$5))</f>
        <v>200.50423394395656</v>
      </c>
      <c r="E207" s="4">
        <f t="shared" ref="E207:E270" si="18">$B$6*$B$12/9.81*($B$9*SQRT(2/($B$9-1)*(2/($B$9+1))^(($B$9+1)/($B$9-1))*(1 - (A207/$B$3)^(($B$9-1)/$B$9))) + C207/$B$3*(A207 - $E$4))</f>
        <v>192.22446752776258</v>
      </c>
    </row>
    <row r="208" spans="1:5" x14ac:dyDescent="0.4">
      <c r="A208">
        <v>77.5</v>
      </c>
      <c r="B208" s="4">
        <f t="shared" si="16"/>
        <v>2.7748965459599471</v>
      </c>
      <c r="C208" s="4">
        <f t="shared" si="15"/>
        <v>5.0544846579484757</v>
      </c>
      <c r="D208" s="4">
        <f t="shared" si="17"/>
        <v>200.49063121008365</v>
      </c>
      <c r="E208" s="4">
        <f t="shared" si="18"/>
        <v>192.2304046760166</v>
      </c>
    </row>
    <row r="209" spans="1:5" x14ac:dyDescent="0.4">
      <c r="A209">
        <v>77.75</v>
      </c>
      <c r="B209" s="4">
        <f t="shared" si="16"/>
        <v>2.7732077030932865</v>
      </c>
      <c r="C209" s="4">
        <f t="shared" si="15"/>
        <v>5.0425968301753308</v>
      </c>
      <c r="D209" s="4">
        <f t="shared" si="17"/>
        <v>200.47694547647464</v>
      </c>
      <c r="E209" s="4">
        <f t="shared" si="18"/>
        <v>192.23614647202717</v>
      </c>
    </row>
    <row r="210" spans="1:5" x14ac:dyDescent="0.4">
      <c r="A210">
        <v>78</v>
      </c>
      <c r="B210" s="4">
        <f t="shared" si="16"/>
        <v>2.7715241225460612</v>
      </c>
      <c r="C210" s="4">
        <f t="shared" si="15"/>
        <v>5.030777136609343</v>
      </c>
      <c r="D210" s="4">
        <f t="shared" si="17"/>
        <v>200.46317789143376</v>
      </c>
      <c r="E210" s="4">
        <f t="shared" si="18"/>
        <v>192.24169506915433</v>
      </c>
    </row>
    <row r="211" spans="1:5" x14ac:dyDescent="0.4">
      <c r="A211">
        <v>78.25</v>
      </c>
      <c r="B211" s="4">
        <f t="shared" si="16"/>
        <v>2.769845770419114</v>
      </c>
      <c r="C211" s="4">
        <f t="shared" si="15"/>
        <v>5.0190249697073392</v>
      </c>
      <c r="D211" s="4">
        <f t="shared" si="17"/>
        <v>200.44932958703146</v>
      </c>
      <c r="E211" s="4">
        <f t="shared" si="18"/>
        <v>192.24705259233804</v>
      </c>
    </row>
    <row r="212" spans="1:5" x14ac:dyDescent="0.4">
      <c r="A212">
        <v>78.5</v>
      </c>
      <c r="B212" s="4">
        <f t="shared" si="16"/>
        <v>2.7681726131398467</v>
      </c>
      <c r="C212" s="4">
        <f t="shared" si="15"/>
        <v>5.0073397292689874</v>
      </c>
      <c r="D212" s="4">
        <f t="shared" si="17"/>
        <v>200.43540167937294</v>
      </c>
      <c r="E212" s="4">
        <f t="shared" si="18"/>
        <v>192.25222113855321</v>
      </c>
    </row>
    <row r="213" spans="1:5" x14ac:dyDescent="0.4">
      <c r="A213">
        <v>78.75</v>
      </c>
      <c r="B213" s="4">
        <f t="shared" si="16"/>
        <v>2.7665046174580392</v>
      </c>
      <c r="C213" s="4">
        <f t="shared" si="15"/>
        <v>4.9957208223249161</v>
      </c>
      <c r="D213" s="4">
        <f t="shared" si="17"/>
        <v>200.4213952688618</v>
      </c>
      <c r="E213" s="4">
        <f t="shared" si="18"/>
        <v>192.257202777256</v>
      </c>
    </row>
    <row r="214" spans="1:5" x14ac:dyDescent="0.4">
      <c r="A214">
        <v>79</v>
      </c>
      <c r="B214" s="4">
        <f t="shared" si="16"/>
        <v>2.7648417504417395</v>
      </c>
      <c r="C214" s="4">
        <f t="shared" si="15"/>
        <v>4.9841676630269811</v>
      </c>
      <c r="D214" s="4">
        <f t="shared" si="17"/>
        <v>200.40731144045836</v>
      </c>
      <c r="E214" s="4">
        <f t="shared" si="18"/>
        <v>192.26199955082157</v>
      </c>
    </row>
    <row r="215" spans="1:5" x14ac:dyDescent="0.4">
      <c r="A215">
        <v>79.25</v>
      </c>
      <c r="B215" s="4">
        <f t="shared" si="16"/>
        <v>2.7631839794732125</v>
      </c>
      <c r="C215" s="4">
        <f t="shared" si="15"/>
        <v>4.9726796725404032</v>
      </c>
      <c r="D215" s="4">
        <f t="shared" si="17"/>
        <v>200.39315126393308</v>
      </c>
      <c r="E215" s="4">
        <f t="shared" si="18"/>
        <v>192.26661347497361</v>
      </c>
    </row>
    <row r="216" spans="1:5" x14ac:dyDescent="0.4">
      <c r="A216">
        <v>79.5</v>
      </c>
      <c r="B216" s="4">
        <f t="shared" si="16"/>
        <v>2.7615312722449614</v>
      </c>
      <c r="C216" s="4">
        <f t="shared" si="15"/>
        <v>4.9612562789380528</v>
      </c>
      <c r="D216" s="4">
        <f t="shared" si="17"/>
        <v>200.37891579411527</v>
      </c>
      <c r="E216" s="4">
        <f t="shared" si="18"/>
        <v>192.271046539206</v>
      </c>
    </row>
    <row r="217" spans="1:5" x14ac:dyDescent="0.4">
      <c r="A217">
        <v>79.75</v>
      </c>
      <c r="B217" s="4">
        <f t="shared" si="16"/>
        <v>2.7598835967558073</v>
      </c>
      <c r="C217" s="4">
        <f t="shared" si="15"/>
        <v>4.9498969170965195</v>
      </c>
      <c r="D217" s="4">
        <f t="shared" si="17"/>
        <v>200.36460607113685</v>
      </c>
      <c r="E217" s="4">
        <f t="shared" si="18"/>
        <v>192.27530070719641</v>
      </c>
    </row>
    <row r="218" spans="1:5" x14ac:dyDescent="0.4">
      <c r="A218">
        <v>80</v>
      </c>
      <c r="B218" s="4">
        <f t="shared" si="16"/>
        <v>2.7582409213070251</v>
      </c>
      <c r="C218" s="4">
        <f t="shared" si="15"/>
        <v>4.9386010285940687</v>
      </c>
      <c r="D218" s="4">
        <f t="shared" si="17"/>
        <v>200.3502231206715</v>
      </c>
      <c r="E218" s="4">
        <f t="shared" si="18"/>
        <v>192.27937791721189</v>
      </c>
    </row>
    <row r="219" spans="1:5" x14ac:dyDescent="0.4">
      <c r="A219">
        <v>80.25</v>
      </c>
      <c r="B219" s="4">
        <f t="shared" si="16"/>
        <v>2.7566032144985533</v>
      </c>
      <c r="C219" s="4">
        <f t="shared" si="15"/>
        <v>4.9273680616105286</v>
      </c>
      <c r="D219" s="4">
        <f t="shared" si="17"/>
        <v>200.33576795416934</v>
      </c>
      <c r="E219" s="4">
        <f t="shared" si="18"/>
        <v>192.2832800825077</v>
      </c>
    </row>
    <row r="220" spans="1:5" x14ac:dyDescent="0.4">
      <c r="A220">
        <v>80.5</v>
      </c>
      <c r="B220" s="4">
        <f t="shared" si="16"/>
        <v>2.7549704452252497</v>
      </c>
      <c r="C220" s="4">
        <f t="shared" si="15"/>
        <v>4.9161974708289264</v>
      </c>
      <c r="D220" s="4">
        <f t="shared" si="17"/>
        <v>200.32124156908711</v>
      </c>
      <c r="E220" s="4">
        <f t="shared" si="18"/>
        <v>192.28700909171781</v>
      </c>
    </row>
    <row r="221" spans="1:5" x14ac:dyDescent="0.4">
      <c r="A221" s="4">
        <v>80.75</v>
      </c>
      <c r="B221" s="4">
        <f t="shared" si="16"/>
        <v>2.7533425826732132</v>
      </c>
      <c r="C221" s="4">
        <f t="shared" si="15"/>
        <v>4.9050887173388604</v>
      </c>
      <c r="D221" s="4">
        <f t="shared" si="17"/>
        <v>200.306644949114</v>
      </c>
      <c r="E221" s="4">
        <f t="shared" si="18"/>
        <v>192.29056680923878</v>
      </c>
    </row>
    <row r="222" spans="1:5" x14ac:dyDescent="0.4">
      <c r="A222" s="11">
        <v>81</v>
      </c>
      <c r="B222" s="4">
        <f t="shared" si="16"/>
        <v>2.7517195963161609</v>
      </c>
      <c r="C222" s="4">
        <f t="shared" si="15"/>
        <v>4.8940412685416703</v>
      </c>
      <c r="D222" s="4">
        <f t="shared" si="17"/>
        <v>200.29197906439336</v>
      </c>
      <c r="E222" s="4">
        <f t="shared" si="18"/>
        <v>192.29395507560648</v>
      </c>
    </row>
    <row r="223" spans="1:5" x14ac:dyDescent="0.4">
      <c r="A223">
        <v>81.25</v>
      </c>
      <c r="B223" s="4">
        <f t="shared" si="16"/>
        <v>2.7501014559118615</v>
      </c>
      <c r="C223" s="4">
        <f t="shared" si="15"/>
        <v>4.8830545980572619</v>
      </c>
      <c r="D223" s="4">
        <f t="shared" si="17"/>
        <v>200.27724487173992</v>
      </c>
      <c r="E223" s="4">
        <f t="shared" si="18"/>
        <v>192.29717570786556</v>
      </c>
    </row>
    <row r="224" spans="1:5" x14ac:dyDescent="0.4">
      <c r="A224">
        <v>81.5</v>
      </c>
      <c r="B224" s="4">
        <f t="shared" si="16"/>
        <v>2.7484881314986218</v>
      </c>
      <c r="C224" s="4">
        <f t="shared" si="15"/>
        <v>4.8721281856325795</v>
      </c>
      <c r="D224" s="4">
        <f t="shared" si="17"/>
        <v>200.26244331485341</v>
      </c>
      <c r="E224" s="4">
        <f t="shared" si="18"/>
        <v>192.30023049993255</v>
      </c>
    </row>
    <row r="225" spans="1:5" x14ac:dyDescent="0.4">
      <c r="A225">
        <v>81.75</v>
      </c>
      <c r="B225" s="4">
        <f t="shared" si="16"/>
        <v>2.746879593391832</v>
      </c>
      <c r="C225" s="4">
        <f t="shared" si="15"/>
        <v>4.8612615170517284</v>
      </c>
      <c r="D225" s="4">
        <f t="shared" si="17"/>
        <v>200.24757532452759</v>
      </c>
      <c r="E225" s="4">
        <f t="shared" si="18"/>
        <v>192.303121222952</v>
      </c>
    </row>
    <row r="226" spans="1:5" x14ac:dyDescent="0.4">
      <c r="A226">
        <v>82</v>
      </c>
      <c r="B226" s="4">
        <f t="shared" si="16"/>
        <v>2.7452758121805547</v>
      </c>
      <c r="C226" s="4">
        <f t="shared" si="15"/>
        <v>4.8504540840476595</v>
      </c>
      <c r="D226" s="4">
        <f t="shared" si="17"/>
        <v>200.23264181885614</v>
      </c>
      <c r="E226" s="4">
        <f t="shared" si="18"/>
        <v>192.3058496256464</v>
      </c>
    </row>
    <row r="227" spans="1:5" x14ac:dyDescent="0.4">
      <c r="A227">
        <v>82.25</v>
      </c>
      <c r="B227" s="4">
        <f t="shared" si="16"/>
        <v>2.7436767587241824</v>
      </c>
      <c r="C227" s="4">
        <f t="shared" si="15"/>
        <v>4.8397053842154554</v>
      </c>
      <c r="D227" s="4">
        <f t="shared" si="17"/>
        <v>200.21764370343394</v>
      </c>
      <c r="E227" s="4">
        <f t="shared" si="18"/>
        <v>192.30841743465945</v>
      </c>
    </row>
    <row r="228" spans="1:5" x14ac:dyDescent="0.4">
      <c r="A228">
        <v>82.5</v>
      </c>
      <c r="B228" s="4">
        <f t="shared" si="16"/>
        <v>2.7420824041491256</v>
      </c>
      <c r="C228" s="4">
        <f t="shared" si="15"/>
        <v>4.8290149209270679</v>
      </c>
      <c r="D228" s="4">
        <f t="shared" si="17"/>
        <v>200.20258187155525</v>
      </c>
      <c r="E228" s="4">
        <f t="shared" si="18"/>
        <v>192.31082635489344</v>
      </c>
    </row>
    <row r="229" spans="1:5" x14ac:dyDescent="0.4">
      <c r="A229">
        <v>82.75</v>
      </c>
      <c r="B229" s="4">
        <f t="shared" si="16"/>
        <v>2.7404927198455686</v>
      </c>
      <c r="C229" s="4">
        <f t="shared" si="15"/>
        <v>4.8183822032476291</v>
      </c>
      <c r="D229" s="4">
        <f t="shared" si="17"/>
        <v>200.18745720440788</v>
      </c>
      <c r="E229" s="4">
        <f t="shared" si="18"/>
        <v>192.31307806984006</v>
      </c>
    </row>
    <row r="230" spans="1:5" x14ac:dyDescent="0.4">
      <c r="A230">
        <v>83</v>
      </c>
      <c r="B230" s="4">
        <f t="shared" si="16"/>
        <v>2.7389076774642649</v>
      </c>
      <c r="C230" s="4">
        <f t="shared" si="15"/>
        <v>4.8078067458531679</v>
      </c>
      <c r="D230" s="4">
        <f t="shared" si="17"/>
        <v>200.17227057126388</v>
      </c>
      <c r="E230" s="4">
        <f t="shared" si="18"/>
        <v>192.31517424190594</v>
      </c>
    </row>
    <row r="231" spans="1:5" x14ac:dyDescent="0.4">
      <c r="A231">
        <v>83.25</v>
      </c>
      <c r="B231" s="4">
        <f t="shared" si="16"/>
        <v>2.737327248913382</v>
      </c>
      <c r="C231" s="4">
        <f t="shared" si="15"/>
        <v>4.797288068949773</v>
      </c>
      <c r="D231" s="4">
        <f t="shared" si="17"/>
        <v>200.15702282966666</v>
      </c>
      <c r="E231" s="4">
        <f t="shared" si="18"/>
        <v>192.31711651273147</v>
      </c>
    </row>
    <row r="232" spans="1:5" x14ac:dyDescent="0.4">
      <c r="A232">
        <v>83.5</v>
      </c>
      <c r="B232" s="4">
        <f t="shared" si="16"/>
        <v>2.7357514063554005</v>
      </c>
      <c r="C232" s="4">
        <f t="shared" si="15"/>
        <v>4.7868256981941837</v>
      </c>
      <c r="D232" s="4">
        <f t="shared" si="17"/>
        <v>200.141714825615</v>
      </c>
      <c r="E232" s="4">
        <f t="shared" si="18"/>
        <v>192.31890650350479</v>
      </c>
    </row>
    <row r="233" spans="1:5" x14ac:dyDescent="0.4">
      <c r="A233">
        <v>83.75</v>
      </c>
      <c r="B233" s="4">
        <f t="shared" si="16"/>
        <v>2.7341801222040503</v>
      </c>
      <c r="C233" s="4">
        <f t="shared" si="15"/>
        <v>4.776419164615735</v>
      </c>
      <c r="D233" s="4">
        <f t="shared" si="17"/>
        <v>200.12634739374323</v>
      </c>
      <c r="E233" s="4">
        <f t="shared" si="18"/>
        <v>192.32054581526953</v>
      </c>
    </row>
    <row r="234" spans="1:5" x14ac:dyDescent="0.4">
      <c r="A234">
        <v>84</v>
      </c>
      <c r="B234" s="4">
        <f t="shared" si="16"/>
        <v>2.7326133691212986</v>
      </c>
      <c r="C234" s="4">
        <f t="shared" si="15"/>
        <v>4.7660680045396386</v>
      </c>
      <c r="D234" s="4">
        <f t="shared" si="17"/>
        <v>200.11092135749837</v>
      </c>
      <c r="E234" s="4">
        <f t="shared" si="18"/>
        <v>192.32203602922723</v>
      </c>
    </row>
    <row r="235" spans="1:5" x14ac:dyDescent="0.4">
      <c r="A235">
        <v>84.25</v>
      </c>
      <c r="B235" s="4">
        <f t="shared" si="16"/>
        <v>2.7310511200143823</v>
      </c>
      <c r="C235" s="4">
        <f t="shared" si="15"/>
        <v>4.7557717595115916</v>
      </c>
      <c r="D235" s="4">
        <f t="shared" si="17"/>
        <v>200.09543752931424</v>
      </c>
      <c r="E235" s="4">
        <f t="shared" si="18"/>
        <v>192.32337870703483</v>
      </c>
    </row>
    <row r="236" spans="1:5" x14ac:dyDescent="0.4">
      <c r="A236">
        <v>84.5</v>
      </c>
      <c r="B236" s="4">
        <f t="shared" si="16"/>
        <v>2.7294933480328814</v>
      </c>
      <c r="C236" s="4">
        <f t="shared" si="15"/>
        <v>4.7455299762237173</v>
      </c>
      <c r="D236" s="4">
        <f t="shared" si="17"/>
        <v>200.0798967107819</v>
      </c>
      <c r="E236" s="4">
        <f t="shared" si="18"/>
        <v>192.32457539109586</v>
      </c>
    </row>
    <row r="237" spans="1:5" x14ac:dyDescent="0.4">
      <c r="A237">
        <v>84.75</v>
      </c>
      <c r="B237" s="4">
        <f t="shared" si="16"/>
        <v>2.7279400265658413</v>
      </c>
      <c r="C237" s="4">
        <f t="shared" si="15"/>
        <v>4.7353422064417074</v>
      </c>
      <c r="D237" s="4">
        <f t="shared" si="17"/>
        <v>200.0642996928176</v>
      </c>
      <c r="E237" s="4">
        <f t="shared" si="18"/>
        <v>192.3256276048478</v>
      </c>
    </row>
    <row r="238" spans="1:5" x14ac:dyDescent="0.4">
      <c r="A238">
        <v>85</v>
      </c>
      <c r="B238" s="4">
        <f t="shared" si="16"/>
        <v>2.7263911292389333</v>
      </c>
      <c r="C238" s="4">
        <f t="shared" si="15"/>
        <v>4.7252080069332507</v>
      </c>
      <c r="D238" s="4">
        <f t="shared" si="17"/>
        <v>200.04864725582729</v>
      </c>
      <c r="E238" s="4">
        <f t="shared" si="18"/>
        <v>192.32653685304328</v>
      </c>
    </row>
    <row r="239" spans="1:5" x14ac:dyDescent="0.4">
      <c r="A239">
        <v>85.25</v>
      </c>
      <c r="B239" s="4">
        <f t="shared" si="16"/>
        <v>2.7248466299116569</v>
      </c>
      <c r="C239" s="4">
        <f t="shared" ref="C239:C302" si="19">1/B239*(2/($B$9+1)*(1 + ($B$9-1)/2*B239^2))^(($B$9+1)/(2*$B$9-2))</f>
        <v>4.7151269393976767</v>
      </c>
      <c r="D239" s="4">
        <f t="shared" si="17"/>
        <v>200.03294016986851</v>
      </c>
      <c r="E239" s="4">
        <f t="shared" si="18"/>
        <v>192.32730462202707</v>
      </c>
    </row>
    <row r="240" spans="1:5" x14ac:dyDescent="0.4">
      <c r="A240">
        <v>85.5</v>
      </c>
      <c r="B240" s="4">
        <f t="shared" si="16"/>
        <v>2.7233065026745873</v>
      </c>
      <c r="C240" s="4">
        <f t="shared" si="19"/>
        <v>4.7050985703967738</v>
      </c>
      <c r="D240" s="4">
        <f t="shared" si="17"/>
        <v>200.01717919480885</v>
      </c>
      <c r="E240" s="4">
        <f t="shared" si="18"/>
        <v>192.32793238000752</v>
      </c>
    </row>
    <row r="241" spans="1:6" x14ac:dyDescent="0.4">
      <c r="A241">
        <v>85.75</v>
      </c>
      <c r="B241" s="4">
        <f t="shared" si="16"/>
        <v>2.72177072184666</v>
      </c>
      <c r="C241" s="4">
        <f t="shared" si="19"/>
        <v>4.6951224712867914</v>
      </c>
      <c r="D241" s="4">
        <f t="shared" si="17"/>
        <v>200.00136508048232</v>
      </c>
      <c r="E241" s="4">
        <f t="shared" si="18"/>
        <v>192.32842157732429</v>
      </c>
    </row>
    <row r="242" spans="1:6" x14ac:dyDescent="0.4">
      <c r="A242">
        <v>86</v>
      </c>
      <c r="B242" s="4">
        <f t="shared" si="16"/>
        <v>2.7202392619724938</v>
      </c>
      <c r="C242" s="4">
        <f t="shared" si="19"/>
        <v>4.6851982181515677</v>
      </c>
      <c r="D242" s="4">
        <f t="shared" si="17"/>
        <v>199.98549856684215</v>
      </c>
      <c r="E242" s="4">
        <f t="shared" si="18"/>
        <v>192.32877364671012</v>
      </c>
    </row>
    <row r="243" spans="1:6" x14ac:dyDescent="0.4">
      <c r="A243">
        <v>86.25</v>
      </c>
      <c r="B243" s="4">
        <f t="shared" si="16"/>
        <v>2.7187120978197581</v>
      </c>
      <c r="C243" s="4">
        <f t="shared" si="19"/>
        <v>4.6753253917368305</v>
      </c>
      <c r="D243" s="4">
        <f t="shared" si="17"/>
        <v>199.96958038411162</v>
      </c>
      <c r="E243" s="4">
        <f t="shared" si="18"/>
        <v>192.32899000354908</v>
      </c>
    </row>
    <row r="244" spans="1:6" x14ac:dyDescent="0.4">
      <c r="A244" s="3">
        <v>86.5</v>
      </c>
      <c r="B244" s="5">
        <f t="shared" si="16"/>
        <v>2.7171892043765729</v>
      </c>
      <c r="C244" s="5">
        <f t="shared" si="19"/>
        <v>4.6655035773855253</v>
      </c>
      <c r="D244" s="5">
        <f t="shared" si="17"/>
        <v>199.95361125293149</v>
      </c>
      <c r="E244" s="5">
        <f t="shared" si="18"/>
        <v>192.32907204612999</v>
      </c>
      <c r="F244" s="2" t="s">
        <v>62</v>
      </c>
    </row>
    <row r="245" spans="1:6" x14ac:dyDescent="0.4">
      <c r="A245">
        <v>86.75</v>
      </c>
      <c r="B245" s="4">
        <f t="shared" si="16"/>
        <v>2.7156705568489512</v>
      </c>
      <c r="C245" s="4">
        <f t="shared" si="19"/>
        <v>4.6557323649743099</v>
      </c>
      <c r="D245" s="4">
        <f t="shared" si="17"/>
        <v>199.93759188450562</v>
      </c>
      <c r="E245" s="4">
        <f t="shared" si="18"/>
        <v>192.32902115589553</v>
      </c>
    </row>
    <row r="246" spans="1:6" x14ac:dyDescent="0.4">
      <c r="A246">
        <v>87</v>
      </c>
      <c r="B246" s="4">
        <f t="shared" si="16"/>
        <v>2.714156130658274</v>
      </c>
      <c r="C246" s="4">
        <f t="shared" si="19"/>
        <v>4.6460113488510242</v>
      </c>
      <c r="D246" s="4">
        <f t="shared" si="17"/>
        <v>199.92152298074328</v>
      </c>
      <c r="E246" s="4">
        <f t="shared" si="18"/>
        <v>192.32883869768671</v>
      </c>
    </row>
    <row r="247" spans="1:6" x14ac:dyDescent="0.4">
      <c r="A247">
        <v>87.25</v>
      </c>
      <c r="B247" s="4">
        <f t="shared" si="16"/>
        <v>2.7126459014388047</v>
      </c>
      <c r="C247" s="4">
        <f t="shared" si="19"/>
        <v>4.6363401277732565</v>
      </c>
      <c r="D247" s="4">
        <f t="shared" si="17"/>
        <v>199.90540523439935</v>
      </c>
      <c r="E247" s="4">
        <f t="shared" si="18"/>
        <v>192.32852601998374</v>
      </c>
    </row>
    <row r="248" spans="1:6" x14ac:dyDescent="0.4">
      <c r="A248">
        <v>87.5</v>
      </c>
      <c r="B248" s="4">
        <f t="shared" si="16"/>
        <v>2.7111398450352406</v>
      </c>
      <c r="C248" s="4">
        <f t="shared" si="19"/>
        <v>4.6267183048479099</v>
      </c>
      <c r="D248" s="4">
        <f t="shared" si="17"/>
        <v>199.88923932921199</v>
      </c>
      <c r="E248" s="4">
        <f t="shared" si="18"/>
        <v>192.32808445514215</v>
      </c>
    </row>
    <row r="249" spans="1:6" x14ac:dyDescent="0.4">
      <c r="A249">
        <v>87.75</v>
      </c>
      <c r="B249" s="4">
        <f t="shared" si="16"/>
        <v>2.7096379375002924</v>
      </c>
      <c r="C249" s="4">
        <f t="shared" si="19"/>
        <v>4.6171454874717481</v>
      </c>
      <c r="D249" s="4">
        <f t="shared" si="17"/>
        <v>199.87302594003793</v>
      </c>
      <c r="E249" s="4">
        <f t="shared" si="18"/>
        <v>192.32751531962546</v>
      </c>
    </row>
    <row r="250" spans="1:6" x14ac:dyDescent="0.4">
      <c r="A250">
        <v>88</v>
      </c>
      <c r="B250" s="4">
        <f t="shared" si="16"/>
        <v>2.7081401550923085</v>
      </c>
      <c r="C250" s="4">
        <f t="shared" si="19"/>
        <v>4.6076212872729547</v>
      </c>
      <c r="D250" s="4">
        <f t="shared" si="17"/>
        <v>199.85676573298542</v>
      </c>
      <c r="E250" s="4">
        <f t="shared" si="18"/>
        <v>192.32681991423362</v>
      </c>
    </row>
    <row r="251" spans="1:6" x14ac:dyDescent="0.4">
      <c r="A251">
        <v>88.25</v>
      </c>
      <c r="B251" s="4">
        <f t="shared" si="16"/>
        <v>2.7066464742729246</v>
      </c>
      <c r="C251" s="4">
        <f t="shared" si="19"/>
        <v>4.5981453200536411</v>
      </c>
      <c r="D251" s="4">
        <f t="shared" si="17"/>
        <v>199.84045936554477</v>
      </c>
      <c r="E251" s="4">
        <f t="shared" si="18"/>
        <v>192.32599952432736</v>
      </c>
    </row>
    <row r="252" spans="1:6" x14ac:dyDescent="0.4">
      <c r="A252">
        <v>88.5</v>
      </c>
      <c r="B252" s="4">
        <f t="shared" si="16"/>
        <v>2.7051568717047521</v>
      </c>
      <c r="C252" s="4">
        <f t="shared" si="19"/>
        <v>4.5887172057332704</v>
      </c>
      <c r="D252" s="4">
        <f t="shared" si="17"/>
        <v>199.82410748671663</v>
      </c>
      <c r="E252" s="4">
        <f t="shared" si="18"/>
        <v>192.32505542004907</v>
      </c>
    </row>
    <row r="253" spans="1:6" x14ac:dyDescent="0.4">
      <c r="A253">
        <v>88.75</v>
      </c>
      <c r="B253" s="4">
        <f t="shared" si="16"/>
        <v>2.7036713242490951</v>
      </c>
      <c r="C253" s="4">
        <f t="shared" si="19"/>
        <v>4.5793365682930398</v>
      </c>
      <c r="D253" s="4">
        <f t="shared" si="17"/>
        <v>199.80771073713805</v>
      </c>
      <c r="E253" s="4">
        <f t="shared" si="18"/>
        <v>192.32398885653967</v>
      </c>
    </row>
    <row r="254" spans="1:6" x14ac:dyDescent="0.4">
      <c r="A254">
        <v>89</v>
      </c>
      <c r="B254" s="4">
        <f t="shared" si="16"/>
        <v>2.7021898089637038</v>
      </c>
      <c r="C254" s="4">
        <f t="shared" si="19"/>
        <v>4.5700030357211503</v>
      </c>
      <c r="D254" s="4">
        <f t="shared" si="17"/>
        <v>199.79126974920666</v>
      </c>
      <c r="E254" s="4">
        <f t="shared" si="18"/>
        <v>192.32280107415238</v>
      </c>
    </row>
    <row r="255" spans="1:6" x14ac:dyDescent="0.4">
      <c r="A255">
        <v>89.25</v>
      </c>
      <c r="B255" s="4">
        <f t="shared" si="16"/>
        <v>2.7007123031005573</v>
      </c>
      <c r="C255" s="4">
        <f t="shared" si="19"/>
        <v>4.5607162399589845</v>
      </c>
      <c r="D255" s="4">
        <f t="shared" si="17"/>
        <v>199.77478514720232</v>
      </c>
      <c r="E255" s="4">
        <f t="shared" si="18"/>
        <v>192.32149329866195</v>
      </c>
    </row>
    <row r="256" spans="1:6" x14ac:dyDescent="0.4">
      <c r="A256">
        <v>89.5</v>
      </c>
      <c r="B256" s="4">
        <f t="shared" si="16"/>
        <v>2.6992387841036765</v>
      </c>
      <c r="C256" s="4">
        <f t="shared" si="19"/>
        <v>4.55147581684811</v>
      </c>
      <c r="D256" s="4">
        <f t="shared" si="17"/>
        <v>199.75825754740669</v>
      </c>
      <c r="E256" s="4">
        <f t="shared" si="18"/>
        <v>192.32006674147138</v>
      </c>
    </row>
    <row r="257" spans="1:5" x14ac:dyDescent="0.4">
      <c r="A257">
        <v>89.75</v>
      </c>
      <c r="B257" s="4">
        <f t="shared" si="16"/>
        <v>2.6977692296069704</v>
      </c>
      <c r="C257" s="4">
        <f t="shared" si="19"/>
        <v>4.5422814060782093</v>
      </c>
      <c r="D257" s="4">
        <f t="shared" si="17"/>
        <v>199.741687558221</v>
      </c>
      <c r="E257" s="4">
        <f t="shared" si="18"/>
        <v>192.31852259981443</v>
      </c>
    </row>
    <row r="258" spans="1:5" x14ac:dyDescent="0.4">
      <c r="A258">
        <v>90</v>
      </c>
      <c r="B258" s="4">
        <f t="shared" si="16"/>
        <v>2.6963036174321111</v>
      </c>
      <c r="C258" s="4">
        <f t="shared" si="19"/>
        <v>4.5331326511357783</v>
      </c>
      <c r="D258" s="4">
        <f t="shared" si="17"/>
        <v>199.72507578028183</v>
      </c>
      <c r="E258" s="4">
        <f t="shared" si="18"/>
        <v>192.31686205695524</v>
      </c>
    </row>
    <row r="259" spans="1:5" x14ac:dyDescent="0.4">
      <c r="A259">
        <v>90.25</v>
      </c>
      <c r="B259" s="4">
        <f t="shared" si="16"/>
        <v>2.6948419255864375</v>
      </c>
      <c r="C259" s="4">
        <f t="shared" si="19"/>
        <v>4.5240291992537127</v>
      </c>
      <c r="D259" s="4">
        <f t="shared" si="17"/>
        <v>199.70842280657467</v>
      </c>
      <c r="E259" s="4">
        <f t="shared" si="18"/>
        <v>192.31508628238444</v>
      </c>
    </row>
    <row r="260" spans="1:5" x14ac:dyDescent="0.4">
      <c r="A260">
        <v>90.5</v>
      </c>
      <c r="B260" s="4">
        <f t="shared" si="16"/>
        <v>2.6933841322608911</v>
      </c>
      <c r="C260" s="4">
        <f t="shared" si="19"/>
        <v>4.51497070136163</v>
      </c>
      <c r="D260" s="4">
        <f t="shared" si="17"/>
        <v>199.69172922254566</v>
      </c>
      <c r="E260" s="4">
        <f t="shared" si="18"/>
        <v>192.31319643201189</v>
      </c>
    </row>
    <row r="261" spans="1:5" x14ac:dyDescent="0.4">
      <c r="A261">
        <v>90.75</v>
      </c>
      <c r="B261" s="4">
        <f t="shared" si="16"/>
        <v>2.6919302158279743</v>
      </c>
      <c r="C261" s="4">
        <f t="shared" si="19"/>
        <v>4.5059568120370512</v>
      </c>
      <c r="D261" s="4">
        <f t="shared" si="17"/>
        <v>199.67499560621135</v>
      </c>
      <c r="E261" s="4">
        <f t="shared" si="18"/>
        <v>192.31119364835641</v>
      </c>
    </row>
    <row r="262" spans="1:5" x14ac:dyDescent="0.4">
      <c r="A262">
        <v>91</v>
      </c>
      <c r="B262" s="4">
        <f t="shared" si="16"/>
        <v>2.6904801548397472</v>
      </c>
      <c r="C262" s="4">
        <f t="shared" si="19"/>
        <v>4.4969871894573368</v>
      </c>
      <c r="D262" s="4">
        <f t="shared" si="17"/>
        <v>199.6582225282668</v>
      </c>
      <c r="E262" s="4">
        <f t="shared" si="18"/>
        <v>192.30907906073239</v>
      </c>
    </row>
    <row r="263" spans="1:5" x14ac:dyDescent="0.4">
      <c r="A263">
        <v>91.25</v>
      </c>
      <c r="B263" s="4">
        <f t="shared" si="16"/>
        <v>2.6890339280258404</v>
      </c>
      <c r="C263" s="4">
        <f t="shared" si="19"/>
        <v>4.4880614953523681</v>
      </c>
      <c r="D263" s="4">
        <f t="shared" si="17"/>
        <v>199.64141055219201</v>
      </c>
      <c r="E263" s="4">
        <f t="shared" si="18"/>
        <v>192.30685378543325</v>
      </c>
    </row>
    <row r="264" spans="1:5" x14ac:dyDescent="0.4">
      <c r="A264">
        <v>91.5</v>
      </c>
      <c r="B264" s="4">
        <f t="shared" si="16"/>
        <v>2.6875915142915048</v>
      </c>
      <c r="C264" s="4">
        <f t="shared" si="19"/>
        <v>4.4791793949580088</v>
      </c>
      <c r="D264" s="4">
        <f t="shared" si="17"/>
        <v>199.62456023435573</v>
      </c>
      <c r="E264" s="4">
        <f t="shared" si="18"/>
        <v>192.30451892591188</v>
      </c>
    </row>
    <row r="265" spans="1:5" x14ac:dyDescent="0.4">
      <c r="A265">
        <v>91.75</v>
      </c>
      <c r="B265" s="4">
        <f t="shared" si="16"/>
        <v>2.6861528927156781</v>
      </c>
      <c r="C265" s="4">
        <f t="shared" si="19"/>
        <v>4.4703405569702559</v>
      </c>
      <c r="D265" s="4">
        <f t="shared" si="17"/>
        <v>199.60767212411861</v>
      </c>
      <c r="E265" s="4">
        <f t="shared" si="18"/>
        <v>192.30207557295816</v>
      </c>
    </row>
    <row r="266" spans="1:5" x14ac:dyDescent="0.4">
      <c r="A266">
        <v>92</v>
      </c>
      <c r="B266" s="4">
        <f t="shared" si="16"/>
        <v>2.6847180425490929</v>
      </c>
      <c r="C266" s="4">
        <f t="shared" si="19"/>
        <v>4.4615446535001899</v>
      </c>
      <c r="D266" s="4">
        <f t="shared" si="17"/>
        <v>199.59074676393391</v>
      </c>
      <c r="E266" s="4">
        <f t="shared" si="18"/>
        <v>192.29952480487361</v>
      </c>
    </row>
    <row r="267" spans="1:5" x14ac:dyDescent="0.4">
      <c r="A267">
        <v>92.25</v>
      </c>
      <c r="B267" s="4">
        <f t="shared" si="16"/>
        <v>2.6832869432123929</v>
      </c>
      <c r="C267" s="4">
        <f t="shared" si="19"/>
        <v>4.4527913600295594</v>
      </c>
      <c r="D267" s="4">
        <f t="shared" si="17"/>
        <v>199.57378468944677</v>
      </c>
      <c r="E267" s="4">
        <f t="shared" si="18"/>
        <v>192.29686768764316</v>
      </c>
    </row>
    <row r="268" spans="1:5" x14ac:dyDescent="0.4">
      <c r="A268">
        <v>92.5</v>
      </c>
      <c r="B268" s="4">
        <f t="shared" si="16"/>
        <v>2.6818595742942843</v>
      </c>
      <c r="C268" s="4">
        <f t="shared" si="19"/>
        <v>4.4440803553670598</v>
      </c>
      <c r="D268" s="4">
        <f t="shared" si="17"/>
        <v>199.55678642959163</v>
      </c>
      <c r="E268" s="4">
        <f t="shared" si="18"/>
        <v>192.29410527510399</v>
      </c>
    </row>
    <row r="269" spans="1:5" x14ac:dyDescent="0.4">
      <c r="A269">
        <v>92.75</v>
      </c>
      <c r="B269" s="4">
        <f t="shared" si="16"/>
        <v>2.6804359155497175</v>
      </c>
      <c r="C269" s="4">
        <f t="shared" si="19"/>
        <v>4.4354113216054074</v>
      </c>
      <c r="D269" s="4">
        <f t="shared" si="17"/>
        <v>199.53975250668853</v>
      </c>
      <c r="E269" s="4">
        <f t="shared" si="18"/>
        <v>192.2912386091121</v>
      </c>
    </row>
    <row r="270" spans="1:5" x14ac:dyDescent="0.4">
      <c r="A270">
        <v>93</v>
      </c>
      <c r="B270" s="4">
        <f t="shared" si="16"/>
        <v>2.6790159468980805</v>
      </c>
      <c r="C270" s="4">
        <f t="shared" si="19"/>
        <v>4.4267839440789105</v>
      </c>
      <c r="D270" s="4">
        <f t="shared" si="17"/>
        <v>199.52268343653733</v>
      </c>
      <c r="E270" s="4">
        <f t="shared" si="18"/>
        <v>192.2882687197056</v>
      </c>
    </row>
    <row r="271" spans="1:5" x14ac:dyDescent="0.4">
      <c r="A271">
        <v>93.25</v>
      </c>
      <c r="B271" s="4">
        <f t="shared" ref="B271:B318" si="20">SQRT(2/($B$9-1)*((A271/$B$3)^((1-$B$9)/$B$9) - 1))</f>
        <v>2.6775996484214235</v>
      </c>
      <c r="C271" s="4">
        <f t="shared" si="19"/>
        <v>4.4181979113218341</v>
      </c>
      <c r="D271" s="4">
        <f t="shared" ref="D271:D318" si="21">$B$6*$B$12/9.81*($B$9*SQRT(2/($B$9-1)*(2/($B$9+1))^(($B$9+1)/($B$9-1))*(1 - (A271/$B$3)^(($B$9-1)/$B$9))) + C271/$B$3*(A271 - $E$5))</f>
        <v>199.50557972851024</v>
      </c>
      <c r="E271" s="4">
        <f t="shared" ref="E271:E318" si="22">$B$6*$B$12/9.81*($B$9*SQRT(2/($B$9-1)*(2/($B$9+1))^(($B$9+1)/($B$9-1))*(1 - (A271/$B$3)^(($B$9-1)/$B$9))) + C271/$B$3*(A271 - $E$4))</f>
        <v>192.28519662526563</v>
      </c>
    </row>
    <row r="272" spans="1:5" x14ac:dyDescent="0.4">
      <c r="A272">
        <v>93.5</v>
      </c>
      <c r="B272" s="4">
        <f t="shared" si="20"/>
        <v>2.6761870003627113</v>
      </c>
      <c r="C272" s="4">
        <f t="shared" si="19"/>
        <v>4.4096529150273724</v>
      </c>
      <c r="D272" s="4">
        <f t="shared" si="21"/>
        <v>199.48844188564368</v>
      </c>
      <c r="E272" s="4">
        <f t="shared" si="22"/>
        <v>192.28202333267504</v>
      </c>
    </row>
    <row r="273" spans="1:5" x14ac:dyDescent="0.4">
      <c r="A273">
        <v>93.75</v>
      </c>
      <c r="B273" s="4">
        <f t="shared" si="20"/>
        <v>2.6747779831240912</v>
      </c>
      <c r="C273" s="4">
        <f t="shared" si="19"/>
        <v>4.401148650007217</v>
      </c>
      <c r="D273" s="4">
        <f t="shared" si="21"/>
        <v>199.47127040472742</v>
      </c>
      <c r="E273" s="4">
        <f t="shared" si="22"/>
        <v>192.27874983747367</v>
      </c>
    </row>
    <row r="274" spans="1:5" x14ac:dyDescent="0.4">
      <c r="A274">
        <v>94</v>
      </c>
      <c r="B274" s="4">
        <f t="shared" si="20"/>
        <v>2.67337257726519</v>
      </c>
      <c r="C274" s="4">
        <f t="shared" si="19"/>
        <v>4.3926848141518136</v>
      </c>
      <c r="D274" s="4">
        <f t="shared" si="21"/>
        <v>199.45406577639349</v>
      </c>
      <c r="E274" s="4">
        <f t="shared" si="22"/>
        <v>192.27537712401218</v>
      </c>
    </row>
    <row r="275" spans="1:5" x14ac:dyDescent="0.4">
      <c r="A275">
        <v>94.25</v>
      </c>
      <c r="B275" s="4">
        <f t="shared" si="20"/>
        <v>2.6719707635014305</v>
      </c>
      <c r="C275" s="4">
        <f t="shared" si="19"/>
        <v>4.3842611083911729</v>
      </c>
      <c r="D275" s="4">
        <f t="shared" si="21"/>
        <v>199.43682848520257</v>
      </c>
      <c r="E275" s="4">
        <f t="shared" si="22"/>
        <v>192.27190616560253</v>
      </c>
    </row>
    <row r="276" spans="1:5" x14ac:dyDescent="0.4">
      <c r="A276">
        <v>94.5</v>
      </c>
      <c r="B276" s="4">
        <f t="shared" si="20"/>
        <v>2.6705725227023698</v>
      </c>
      <c r="C276" s="4">
        <f t="shared" si="19"/>
        <v>4.3758772366562946</v>
      </c>
      <c r="D276" s="4">
        <f t="shared" si="21"/>
        <v>199.41955900972968</v>
      </c>
      <c r="E276" s="4">
        <f t="shared" si="22"/>
        <v>192.26833792466672</v>
      </c>
    </row>
    <row r="277" spans="1:5" x14ac:dyDescent="0.4">
      <c r="A277">
        <v>94.75</v>
      </c>
      <c r="B277" s="4">
        <f t="shared" si="20"/>
        <v>2.6691778358900651</v>
      </c>
      <c r="C277" s="4">
        <f t="shared" si="19"/>
        <v>4.3675329058412409</v>
      </c>
      <c r="D277" s="4">
        <f t="shared" si="21"/>
        <v>199.40225782264815</v>
      </c>
      <c r="E277" s="4">
        <f t="shared" si="22"/>
        <v>192.26467335288268</v>
      </c>
    </row>
    <row r="278" spans="1:5" x14ac:dyDescent="0.4">
      <c r="A278">
        <v>95</v>
      </c>
      <c r="B278" s="4">
        <f t="shared" si="20"/>
        <v>2.667786684237456</v>
      </c>
      <c r="C278" s="4">
        <f t="shared" si="19"/>
        <v>4.3592278257657036</v>
      </c>
      <c r="D278" s="4">
        <f t="shared" si="21"/>
        <v>199.38492539081247</v>
      </c>
      <c r="E278" s="4">
        <f t="shared" si="22"/>
        <v>192.26091339132836</v>
      </c>
    </row>
    <row r="279" spans="1:5" x14ac:dyDescent="0.4">
      <c r="A279">
        <v>95.25</v>
      </c>
      <c r="B279" s="4">
        <f t="shared" si="20"/>
        <v>2.6663990490667677</v>
      </c>
      <c r="C279" s="4">
        <f t="shared" si="19"/>
        <v>4.3509617091381818</v>
      </c>
      <c r="D279" s="4">
        <f t="shared" si="21"/>
        <v>199.36756217533932</v>
      </c>
      <c r="E279" s="4">
        <f t="shared" si="22"/>
        <v>192.25705897062281</v>
      </c>
    </row>
    <row r="280" spans="1:5" x14ac:dyDescent="0.4">
      <c r="A280">
        <v>95.5</v>
      </c>
      <c r="B280" s="4">
        <f t="shared" si="20"/>
        <v>2.6650149118479374</v>
      </c>
      <c r="C280" s="4">
        <f t="shared" si="19"/>
        <v>4.3427342715197099</v>
      </c>
      <c r="D280" s="4">
        <f t="shared" si="21"/>
        <v>199.35016863168784</v>
      </c>
      <c r="E280" s="4">
        <f t="shared" si="22"/>
        <v>192.25311101106598</v>
      </c>
    </row>
    <row r="281" spans="1:5" x14ac:dyDescent="0.4">
      <c r="A281">
        <v>95.75</v>
      </c>
      <c r="B281" s="4">
        <f t="shared" si="20"/>
        <v>2.6636342541970635</v>
      </c>
      <c r="C281" s="4">
        <f t="shared" si="19"/>
        <v>4.3345452312881569</v>
      </c>
      <c r="D281" s="4">
        <f t="shared" si="21"/>
        <v>199.33274520973839</v>
      </c>
      <c r="E281" s="4">
        <f t="shared" si="22"/>
        <v>192.24907042277553</v>
      </c>
    </row>
    <row r="282" spans="1:5" x14ac:dyDescent="0.4">
      <c r="A282">
        <v>96</v>
      </c>
      <c r="B282" s="4">
        <f t="shared" si="20"/>
        <v>2.6622570578748723</v>
      </c>
      <c r="C282" s="4">
        <f t="shared" si="19"/>
        <v>4.3263943096030575</v>
      </c>
      <c r="D282" s="4">
        <f t="shared" si="21"/>
        <v>199.31529235386992</v>
      </c>
      <c r="E282" s="4">
        <f t="shared" si="22"/>
        <v>192.24493810582183</v>
      </c>
    </row>
    <row r="283" spans="1:5" x14ac:dyDescent="0.4">
      <c r="A283">
        <v>96.25</v>
      </c>
      <c r="B283" s="4">
        <f t="shared" si="20"/>
        <v>2.6608833047852016</v>
      </c>
      <c r="C283" s="4">
        <f t="shared" si="19"/>
        <v>4.3182812303709177</v>
      </c>
      <c r="D283" s="4">
        <f t="shared" si="21"/>
        <v>199.2978105030362</v>
      </c>
      <c r="E283" s="4">
        <f t="shared" si="22"/>
        <v>192.24071495036091</v>
      </c>
    </row>
    <row r="284" spans="1:5" x14ac:dyDescent="0.4">
      <c r="A284">
        <v>96.5</v>
      </c>
      <c r="B284" s="4">
        <f t="shared" si="20"/>
        <v>2.6595129769735095</v>
      </c>
      <c r="C284" s="4">
        <f t="shared" si="19"/>
        <v>4.3102057202111048</v>
      </c>
      <c r="D284" s="4">
        <f t="shared" si="21"/>
        <v>199.28030009084068</v>
      </c>
      <c r="E284" s="4">
        <f t="shared" si="22"/>
        <v>192.23640183676505</v>
      </c>
    </row>
    <row r="285" spans="1:5" x14ac:dyDescent="0.4">
      <c r="A285">
        <v>96.75</v>
      </c>
      <c r="B285" s="4">
        <f t="shared" si="20"/>
        <v>2.6581460566254047</v>
      </c>
      <c r="C285" s="4">
        <f t="shared" si="19"/>
        <v>4.3021675084222775</v>
      </c>
      <c r="D285" s="4">
        <f t="shared" si="21"/>
        <v>199.26276154561094</v>
      </c>
      <c r="E285" s="4">
        <f t="shared" si="22"/>
        <v>192.23199963575192</v>
      </c>
    </row>
    <row r="286" spans="1:5" x14ac:dyDescent="0.4">
      <c r="A286">
        <v>97</v>
      </c>
      <c r="B286" s="4">
        <f t="shared" si="20"/>
        <v>2.6567825260651854</v>
      </c>
      <c r="C286" s="4">
        <f t="shared" si="19"/>
        <v>4.2941663269492052</v>
      </c>
      <c r="D286" s="4">
        <f t="shared" si="21"/>
        <v>199.24519529047043</v>
      </c>
      <c r="E286" s="4">
        <f t="shared" si="22"/>
        <v>192.22750920851087</v>
      </c>
    </row>
    <row r="287" spans="1:5" x14ac:dyDescent="0.4">
      <c r="A287">
        <v>97.25</v>
      </c>
      <c r="B287" s="4">
        <f t="shared" si="20"/>
        <v>2.6554223677544067</v>
      </c>
      <c r="C287" s="4">
        <f t="shared" si="19"/>
        <v>4.2862019103501696</v>
      </c>
      <c r="D287" s="4">
        <f t="shared" si="21"/>
        <v>199.22760174341059</v>
      </c>
      <c r="E287" s="4">
        <f t="shared" si="22"/>
        <v>192.222931406828</v>
      </c>
    </row>
    <row r="288" spans="1:5" x14ac:dyDescent="0.4">
      <c r="A288">
        <v>97.5</v>
      </c>
      <c r="B288" s="4">
        <f t="shared" si="20"/>
        <v>2.6540655642904638</v>
      </c>
      <c r="C288" s="4">
        <f t="shared" si="19"/>
        <v>4.278273995764847</v>
      </c>
      <c r="D288" s="4">
        <f t="shared" si="21"/>
        <v>199.20998131736087</v>
      </c>
      <c r="E288" s="4">
        <f t="shared" si="22"/>
        <v>192.21826707320889</v>
      </c>
    </row>
    <row r="289" spans="1:5" x14ac:dyDescent="0.4">
      <c r="A289">
        <v>97.75</v>
      </c>
      <c r="B289" s="4">
        <f t="shared" si="20"/>
        <v>2.6527120984051913</v>
      </c>
      <c r="C289" s="4">
        <f t="shared" si="19"/>
        <v>4.2703823228826208</v>
      </c>
      <c r="D289" s="4">
        <f t="shared" si="21"/>
        <v>199.19233442025819</v>
      </c>
      <c r="E289" s="4">
        <f t="shared" si="22"/>
        <v>192.21351704099976</v>
      </c>
    </row>
    <row r="290" spans="1:5" x14ac:dyDescent="0.4">
      <c r="A290">
        <v>98</v>
      </c>
      <c r="B290" s="4">
        <f t="shared" si="20"/>
        <v>2.6513619529634842</v>
      </c>
      <c r="C290" s="4">
        <f t="shared" si="19"/>
        <v>4.2625266339114081</v>
      </c>
      <c r="D290" s="4">
        <f t="shared" si="21"/>
        <v>199.17466145511492</v>
      </c>
      <c r="E290" s="4">
        <f t="shared" si="22"/>
        <v>192.20868213450629</v>
      </c>
    </row>
    <row r="291" spans="1:5" x14ac:dyDescent="0.4">
      <c r="A291">
        <v>98.25</v>
      </c>
      <c r="B291" s="4">
        <f t="shared" si="20"/>
        <v>2.6500151109619323</v>
      </c>
      <c r="C291" s="4">
        <f t="shared" si="19"/>
        <v>4.2547066735469192</v>
      </c>
      <c r="D291" s="4">
        <f t="shared" si="21"/>
        <v>199.15696282008588</v>
      </c>
      <c r="E291" s="4">
        <f t="shared" si="22"/>
        <v>192.20376316911117</v>
      </c>
    </row>
    <row r="292" spans="1:5" x14ac:dyDescent="0.4">
      <c r="A292">
        <v>98.5</v>
      </c>
      <c r="B292" s="4">
        <f t="shared" si="20"/>
        <v>2.6486715555274754</v>
      </c>
      <c r="C292" s="4">
        <f t="shared" si="19"/>
        <v>4.2469221889423796</v>
      </c>
      <c r="D292" s="4">
        <f t="shared" si="21"/>
        <v>199.13923890853479</v>
      </c>
      <c r="E292" s="4">
        <f t="shared" si="22"/>
        <v>192.1987609513896</v>
      </c>
    </row>
    <row r="293" spans="1:5" x14ac:dyDescent="0.4">
      <c r="A293">
        <v>98.75</v>
      </c>
      <c r="B293" s="4">
        <f t="shared" si="20"/>
        <v>2.6473312699160738</v>
      </c>
      <c r="C293" s="4">
        <f t="shared" si="19"/>
        <v>4.2391729296787029</v>
      </c>
      <c r="D293" s="4">
        <f t="shared" si="21"/>
        <v>199.12149010909846</v>
      </c>
      <c r="E293" s="4">
        <f t="shared" si="22"/>
        <v>192.19367627922259</v>
      </c>
    </row>
    <row r="294" spans="1:5" x14ac:dyDescent="0.4">
      <c r="A294">
        <v>99</v>
      </c>
      <c r="B294" s="4">
        <f t="shared" si="20"/>
        <v>2.6459942375113989</v>
      </c>
      <c r="C294" s="4">
        <f t="shared" si="19"/>
        <v>4.2314586477350788</v>
      </c>
      <c r="D294" s="4">
        <f t="shared" si="21"/>
        <v>199.10371680575159</v>
      </c>
      <c r="E294" s="4">
        <f t="shared" si="22"/>
        <v>192.1885099419097</v>
      </c>
    </row>
    <row r="295" spans="1:5" x14ac:dyDescent="0.4">
      <c r="A295">
        <v>99.25</v>
      </c>
      <c r="B295" s="4">
        <f t="shared" si="20"/>
        <v>2.6446604418235311</v>
      </c>
      <c r="C295" s="4">
        <f t="shared" si="19"/>
        <v>4.223779097460004</v>
      </c>
      <c r="D295" s="4">
        <f t="shared" si="21"/>
        <v>199.08591937786903</v>
      </c>
      <c r="E295" s="4">
        <f t="shared" si="22"/>
        <v>192.18326272027855</v>
      </c>
    </row>
    <row r="296" spans="1:5" x14ac:dyDescent="0.4">
      <c r="A296">
        <v>99.5</v>
      </c>
      <c r="B296" s="4">
        <f t="shared" si="20"/>
        <v>2.6433298664876914</v>
      </c>
      <c r="C296" s="4">
        <f t="shared" si="19"/>
        <v>4.2161340355427699</v>
      </c>
      <c r="D296" s="4">
        <f t="shared" si="21"/>
        <v>199.06809820028835</v>
      </c>
      <c r="E296" s="4">
        <f t="shared" si="22"/>
        <v>192.17793538679413</v>
      </c>
    </row>
    <row r="297" spans="1:5" x14ac:dyDescent="0.4">
      <c r="A297">
        <v>99.75</v>
      </c>
      <c r="B297" s="4">
        <f t="shared" si="20"/>
        <v>2.642002495262969</v>
      </c>
      <c r="C297" s="4">
        <f t="shared" si="19"/>
        <v>4.2085232209852768</v>
      </c>
      <c r="D297" s="4">
        <f t="shared" si="21"/>
        <v>199.05025364337044</v>
      </c>
      <c r="E297" s="4">
        <f t="shared" si="22"/>
        <v>192.17252870566534</v>
      </c>
    </row>
    <row r="298" spans="1:5" x14ac:dyDescent="0.4">
      <c r="A298">
        <v>100</v>
      </c>
      <c r="B298" s="4">
        <f t="shared" si="20"/>
        <v>2.6406783120310777</v>
      </c>
      <c r="C298" s="4">
        <f t="shared" si="19"/>
        <v>4.2009464150743439</v>
      </c>
      <c r="D298" s="4">
        <f t="shared" si="21"/>
        <v>199.03238607305966</v>
      </c>
      <c r="E298" s="4">
        <f t="shared" si="22"/>
        <v>192.16704343295055</v>
      </c>
    </row>
    <row r="299" spans="1:5" x14ac:dyDescent="0.4">
      <c r="A299">
        <v>100.25</v>
      </c>
      <c r="B299" s="4">
        <f t="shared" si="20"/>
        <v>2.639357300795127</v>
      </c>
      <c r="C299" s="4">
        <f t="shared" si="19"/>
        <v>4.1934033813543881</v>
      </c>
      <c r="D299" s="4">
        <f t="shared" si="21"/>
        <v>199.01449585094318</v>
      </c>
      <c r="E299" s="4">
        <f t="shared" si="22"/>
        <v>192.1614803166614</v>
      </c>
    </row>
    <row r="300" spans="1:5" x14ac:dyDescent="0.4">
      <c r="A300">
        <v>100.5</v>
      </c>
      <c r="B300" s="4">
        <f t="shared" si="20"/>
        <v>2.6380394456784022</v>
      </c>
      <c r="C300" s="4">
        <f t="shared" si="19"/>
        <v>4.1858938856004668</v>
      </c>
      <c r="D300" s="4">
        <f t="shared" si="21"/>
        <v>198.99658333430895</v>
      </c>
      <c r="E300" s="4">
        <f t="shared" si="22"/>
        <v>192.15584009686484</v>
      </c>
    </row>
    <row r="301" spans="1:5" x14ac:dyDescent="0.4">
      <c r="A301">
        <v>100.75</v>
      </c>
      <c r="B301" s="4">
        <f t="shared" si="20"/>
        <v>2.6367247309231665</v>
      </c>
      <c r="C301" s="4">
        <f t="shared" si="19"/>
        <v>4.178417695791766</v>
      </c>
      <c r="D301" s="4">
        <f t="shared" si="21"/>
        <v>198.97864887620321</v>
      </c>
      <c r="E301" s="4">
        <f t="shared" si="22"/>
        <v>192.15012350578425</v>
      </c>
    </row>
    <row r="302" spans="1:5" x14ac:dyDescent="0.4">
      <c r="A302">
        <v>101</v>
      </c>
      <c r="B302" s="4">
        <f t="shared" si="20"/>
        <v>2.6354131408894745</v>
      </c>
      <c r="C302" s="4">
        <f t="shared" si="19"/>
        <v>4.1709745820854307</v>
      </c>
      <c r="D302" s="4">
        <f t="shared" si="21"/>
        <v>198.96069282548683</v>
      </c>
      <c r="E302" s="4">
        <f t="shared" si="22"/>
        <v>192.14433126789825</v>
      </c>
    </row>
    <row r="303" spans="1:5" x14ac:dyDescent="0.4">
      <c r="A303">
        <v>101.25</v>
      </c>
      <c r="B303" s="4">
        <f t="shared" si="20"/>
        <v>2.6341046600540015</v>
      </c>
      <c r="C303" s="4">
        <f t="shared" ref="C303:C318" si="23">1/B303*(2/($B$9+1)*(1 + ($B$9-1)/2*B303^2))^(($B$9+1)/(2*$B$9-2))</f>
        <v>4.1635643167907643</v>
      </c>
      <c r="D303" s="4">
        <f t="shared" si="21"/>
        <v>198.94271552689102</v>
      </c>
      <c r="E303" s="4">
        <f t="shared" si="22"/>
        <v>192.13846410003856</v>
      </c>
    </row>
    <row r="304" spans="1:5" x14ac:dyDescent="0.4">
      <c r="A304">
        <v>101.5</v>
      </c>
      <c r="B304" s="4">
        <f t="shared" si="20"/>
        <v>2.6327992730088838</v>
      </c>
      <c r="C304" s="4">
        <f t="shared" si="23"/>
        <v>4.1561866743438181</v>
      </c>
      <c r="D304" s="4">
        <f t="shared" si="21"/>
        <v>198.92471732107194</v>
      </c>
      <c r="E304" s="4">
        <f t="shared" si="22"/>
        <v>192.13252271148633</v>
      </c>
    </row>
    <row r="305" spans="1:5" x14ac:dyDescent="0.4">
      <c r="A305">
        <v>101.75</v>
      </c>
      <c r="B305" s="4">
        <f t="shared" si="20"/>
        <v>2.6314969644605823</v>
      </c>
      <c r="C305" s="4">
        <f t="shared" si="23"/>
        <v>4.1488414312823503</v>
      </c>
      <c r="D305" s="4">
        <f t="shared" si="21"/>
        <v>198.90669854466466</v>
      </c>
      <c r="E305" s="4">
        <f t="shared" si="22"/>
        <v>192.12650780406702</v>
      </c>
    </row>
    <row r="306" spans="1:5" x14ac:dyDescent="0.4">
      <c r="A306">
        <v>102</v>
      </c>
      <c r="B306" s="4">
        <f t="shared" si="20"/>
        <v>2.6301977192287511</v>
      </c>
      <c r="C306" s="4">
        <f t="shared" si="23"/>
        <v>4.1415283662211131</v>
      </c>
      <c r="D306" s="4">
        <f t="shared" si="21"/>
        <v>198.88865953033621</v>
      </c>
      <c r="E306" s="4">
        <f t="shared" si="22"/>
        <v>192.12042007224352</v>
      </c>
    </row>
    <row r="307" spans="1:5" x14ac:dyDescent="0.4">
      <c r="A307">
        <v>102.25</v>
      </c>
      <c r="B307" s="4">
        <f t="shared" si="20"/>
        <v>2.62890152224512</v>
      </c>
      <c r="C307" s="4">
        <f t="shared" si="23"/>
        <v>4.1342472598274727</v>
      </c>
      <c r="D307" s="4">
        <f t="shared" si="21"/>
        <v>198.87060060683788</v>
      </c>
      <c r="E307" s="4">
        <f t="shared" si="22"/>
        <v>192.11426020320872</v>
      </c>
    </row>
    <row r="308" spans="1:5" x14ac:dyDescent="0.4">
      <c r="A308">
        <v>102.5</v>
      </c>
      <c r="B308" s="4">
        <f t="shared" si="20"/>
        <v>2.6276083585524006</v>
      </c>
      <c r="C308" s="4">
        <f t="shared" si="23"/>
        <v>4.1269978947974675</v>
      </c>
      <c r="D308" s="4">
        <f t="shared" si="21"/>
        <v>198.85252209905661</v>
      </c>
      <c r="E308" s="4">
        <f t="shared" si="22"/>
        <v>192.10802887697579</v>
      </c>
    </row>
    <row r="309" spans="1:5" x14ac:dyDescent="0.4">
      <c r="A309">
        <v>102.75</v>
      </c>
      <c r="B309" s="4">
        <f t="shared" si="20"/>
        <v>2.6263182133031946</v>
      </c>
      <c r="C309" s="4">
        <f t="shared" si="23"/>
        <v>4.1197800558320896</v>
      </c>
      <c r="D309" s="4">
        <f t="shared" si="21"/>
        <v>198.83442432806595</v>
      </c>
      <c r="E309" s="4">
        <f t="shared" si="22"/>
        <v>192.10172676646789</v>
      </c>
    </row>
    <row r="310" spans="1:5" x14ac:dyDescent="0.4">
      <c r="A310">
        <v>103</v>
      </c>
      <c r="B310" s="4">
        <f t="shared" si="20"/>
        <v>2.6250310717589214</v>
      </c>
      <c r="C310" s="4">
        <f t="shared" si="23"/>
        <v>4.1125935296139691</v>
      </c>
      <c r="D310" s="4">
        <f t="shared" si="21"/>
        <v>198.81630761117572</v>
      </c>
      <c r="E310" s="4">
        <f t="shared" si="22"/>
        <v>192.09535453760597</v>
      </c>
    </row>
    <row r="311" spans="1:5" x14ac:dyDescent="0.4">
      <c r="A311">
        <v>103.25</v>
      </c>
      <c r="B311" s="4">
        <f t="shared" si="20"/>
        <v>2.6237469192887573</v>
      </c>
      <c r="C311" s="4">
        <f t="shared" si="23"/>
        <v>4.1054381047843593</v>
      </c>
      <c r="D311" s="4">
        <f t="shared" si="21"/>
        <v>198.79817226198119</v>
      </c>
      <c r="E311" s="4">
        <f t="shared" si="22"/>
        <v>192.08891284939571</v>
      </c>
    </row>
    <row r="312" spans="1:5" x14ac:dyDescent="0.4">
      <c r="A312">
        <v>103.5</v>
      </c>
      <c r="B312" s="4">
        <f t="shared" si="20"/>
        <v>2.6224657413685861</v>
      </c>
      <c r="C312" s="4">
        <f t="shared" si="23"/>
        <v>4.098313571920464</v>
      </c>
      <c r="D312" s="4">
        <f t="shared" si="21"/>
        <v>198.78001859041177</v>
      </c>
      <c r="E312" s="4">
        <f t="shared" si="22"/>
        <v>192.08240235401294</v>
      </c>
    </row>
    <row r="313" spans="1:5" x14ac:dyDescent="0.4">
      <c r="A313">
        <v>103.75</v>
      </c>
      <c r="B313" s="4">
        <f t="shared" si="20"/>
        <v>2.6211875235799678</v>
      </c>
      <c r="C313" s="4">
        <f t="shared" si="23"/>
        <v>4.0912197235130598</v>
      </c>
      <c r="D313" s="4">
        <f t="shared" si="21"/>
        <v>198.76184690277853</v>
      </c>
      <c r="E313" s="4">
        <f t="shared" si="22"/>
        <v>192.07582369688802</v>
      </c>
    </row>
    <row r="314" spans="1:5" x14ac:dyDescent="0.4">
      <c r="A314">
        <v>104</v>
      </c>
      <c r="B314" s="4">
        <f t="shared" si="20"/>
        <v>2.6199122516091102</v>
      </c>
      <c r="C314" s="4">
        <f t="shared" si="23"/>
        <v>4.0841563539444454</v>
      </c>
      <c r="D314" s="4">
        <f t="shared" si="21"/>
        <v>198.74365750182119</v>
      </c>
      <c r="E314" s="4">
        <f t="shared" si="22"/>
        <v>192.06917751678878</v>
      </c>
    </row>
    <row r="315" spans="1:5" x14ac:dyDescent="0.4">
      <c r="A315">
        <v>104.25</v>
      </c>
      <c r="B315" s="4">
        <f t="shared" si="20"/>
        <v>2.6186399112458658</v>
      </c>
      <c r="C315" s="4">
        <f t="shared" si="23"/>
        <v>4.0771232594666884</v>
      </c>
      <c r="D315" s="4">
        <f t="shared" si="21"/>
        <v>198.72545068675467</v>
      </c>
      <c r="E315" s="4">
        <f t="shared" si="22"/>
        <v>192.06246444590255</v>
      </c>
    </row>
    <row r="316" spans="1:5" x14ac:dyDescent="0.4">
      <c r="A316">
        <v>104.5</v>
      </c>
      <c r="B316" s="4">
        <f t="shared" si="20"/>
        <v>2.6173704883827256</v>
      </c>
      <c r="C316" s="4">
        <f t="shared" si="23"/>
        <v>4.070120238180186</v>
      </c>
      <c r="D316" s="4">
        <f t="shared" si="21"/>
        <v>198.70722675331433</v>
      </c>
      <c r="E316" s="4">
        <f t="shared" si="22"/>
        <v>192.05568510991657</v>
      </c>
    </row>
    <row r="317" spans="1:5" x14ac:dyDescent="0.4">
      <c r="A317">
        <v>104.75</v>
      </c>
      <c r="B317" s="4">
        <f t="shared" si="20"/>
        <v>2.6161039690138397</v>
      </c>
      <c r="C317" s="4">
        <f t="shared" si="23"/>
        <v>4.063147090012496</v>
      </c>
      <c r="D317" s="4">
        <f t="shared" si="21"/>
        <v>198.68898599380117</v>
      </c>
      <c r="E317" s="4">
        <f t="shared" si="22"/>
        <v>192.04884012809765</v>
      </c>
    </row>
    <row r="318" spans="1:5" x14ac:dyDescent="0.4">
      <c r="A318">
        <v>105</v>
      </c>
      <c r="B318" s="4">
        <f t="shared" si="20"/>
        <v>2.6148403392340387</v>
      </c>
      <c r="C318" s="4">
        <f t="shared" si="23"/>
        <v>4.0562036166974922</v>
      </c>
      <c r="D318" s="4">
        <f t="shared" si="21"/>
        <v>198.67072869712601</v>
      </c>
      <c r="E318" s="4">
        <f t="shared" si="22"/>
        <v>192.04193011337037</v>
      </c>
    </row>
  </sheetData>
  <pageMargins left="0.7" right="0.7" top="0.75" bottom="0.75" header="0.3" footer="0.3"/>
  <pageSetup orientation="portrait" horizontalDpi="4294967293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3"/>
  <sheetViews>
    <sheetView workbookViewId="0">
      <selection sqref="A1:A3"/>
    </sheetView>
  </sheetViews>
  <sheetFormatPr defaultRowHeight="14.6" x14ac:dyDescent="0.4"/>
  <sheetData>
    <row r="1" spans="1:1" x14ac:dyDescent="0.4">
      <c r="A1">
        <v>185.27155233672951</v>
      </c>
    </row>
    <row r="2" spans="1:1" x14ac:dyDescent="0.4">
      <c r="A2">
        <v>1223.8941092273383</v>
      </c>
    </row>
    <row r="3" spans="1:1" x14ac:dyDescent="0.4">
      <c r="A3">
        <v>5980.674588010821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18"/>
  <sheetViews>
    <sheetView zoomScaleNormal="100" workbookViewId="0">
      <selection activeCell="O14" sqref="O14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6" x14ac:dyDescent="0.4">
      <c r="A1" t="s">
        <v>0</v>
      </c>
      <c r="B1" s="13">
        <f>CONVERT(23000, "ft", "m")</f>
        <v>7010.4</v>
      </c>
      <c r="C1" t="str">
        <f>"---&gt;"</f>
        <v>---&gt;</v>
      </c>
      <c r="D1" s="1" t="s">
        <v>1</v>
      </c>
      <c r="E1" s="4">
        <f>SQRT(2*9.81*(B1-500))*1.5</f>
        <v>536.09850587368737</v>
      </c>
    </row>
    <row r="2" spans="1:16" x14ac:dyDescent="0.4">
      <c r="A2" t="s">
        <v>2</v>
      </c>
      <c r="B2" s="13">
        <v>6.5</v>
      </c>
    </row>
    <row r="3" spans="1:16" ht="17.149999999999999" x14ac:dyDescent="0.55000000000000004">
      <c r="A3" t="s">
        <v>3</v>
      </c>
      <c r="B3" s="14">
        <f>CONVERT(350,"psi","Pa")/1000</f>
        <v>2413.165052608927</v>
      </c>
      <c r="D3" t="s">
        <v>4</v>
      </c>
      <c r="E3">
        <v>1311</v>
      </c>
    </row>
    <row r="4" spans="1:16" ht="17.149999999999999" x14ac:dyDescent="0.55000000000000004">
      <c r="A4" s="1" t="s">
        <v>5</v>
      </c>
      <c r="B4" s="13">
        <v>10</v>
      </c>
      <c r="D4" t="s">
        <v>6</v>
      </c>
      <c r="E4" s="4">
        <f>101.325*(1 - 0.0065*E3/288.16)^(-9.81/-0.0065/287)</f>
        <v>86.528880457303998</v>
      </c>
      <c r="F4" s="2" t="s">
        <v>7</v>
      </c>
    </row>
    <row r="5" spans="1:16" ht="17.149999999999999" x14ac:dyDescent="0.55000000000000004">
      <c r="A5" s="1" t="s">
        <v>8</v>
      </c>
      <c r="B5">
        <v>0.9</v>
      </c>
      <c r="D5" s="1" t="s">
        <v>9</v>
      </c>
      <c r="E5" s="4">
        <f>101.325*(1 - 0.0065*2/3*B1/288.16)^(-9.81/-0.0065/287)</f>
        <v>56.401942621880451</v>
      </c>
      <c r="F5" s="2" t="s">
        <v>10</v>
      </c>
    </row>
    <row r="6" spans="1:16" x14ac:dyDescent="0.4">
      <c r="A6" s="1" t="s">
        <v>11</v>
      </c>
      <c r="B6">
        <v>0.9</v>
      </c>
    </row>
    <row r="7" spans="1:16" ht="17.149999999999999" x14ac:dyDescent="0.55000000000000004">
      <c r="A7" s="1" t="s">
        <v>12</v>
      </c>
      <c r="B7">
        <f>19/30</f>
        <v>0.6333333333333333</v>
      </c>
    </row>
    <row r="9" spans="1:16" x14ac:dyDescent="0.4">
      <c r="A9" s="1" t="s">
        <v>13</v>
      </c>
      <c r="B9">
        <v>1.1597</v>
      </c>
    </row>
    <row r="10" spans="1:16" x14ac:dyDescent="0.4">
      <c r="A10" s="1" t="s">
        <v>15</v>
      </c>
      <c r="B10">
        <v>25.776</v>
      </c>
      <c r="C10" t="str">
        <f>"---&gt;"</f>
        <v>---&gt;</v>
      </c>
      <c r="D10" t="s">
        <v>16</v>
      </c>
      <c r="E10">
        <f>8314/B10</f>
        <v>322.54810676598385</v>
      </c>
      <c r="H10" s="4">
        <f>E244</f>
        <v>196.06899771456403</v>
      </c>
      <c r="N10" s="6"/>
    </row>
    <row r="11" spans="1:16" ht="17.149999999999999" x14ac:dyDescent="0.55000000000000004">
      <c r="A11" s="1" t="s">
        <v>17</v>
      </c>
      <c r="B11">
        <v>3274</v>
      </c>
    </row>
    <row r="12" spans="1:16" x14ac:dyDescent="0.4">
      <c r="A12" s="1" t="s">
        <v>18</v>
      </c>
      <c r="B12" s="4">
        <f>B5*SQRT(B9*E10*B11)/B9/(2/(B9 + 1))^((B9 + 1)/(2*B9 - 2))</f>
        <v>1443.7804250938966</v>
      </c>
      <c r="H12" t="s">
        <v>19</v>
      </c>
      <c r="J12" t="s">
        <v>20</v>
      </c>
      <c r="M12" t="s">
        <v>21</v>
      </c>
      <c r="P12" s="10" t="s">
        <v>63</v>
      </c>
    </row>
    <row r="13" spans="1:16" ht="17.149999999999999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s="1" t="s">
        <v>28</v>
      </c>
      <c r="N13" s="4">
        <f>C244</f>
        <v>4.8899975814318379</v>
      </c>
      <c r="O13" t="s">
        <v>64</v>
      </c>
    </row>
    <row r="14" spans="1:16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25</v>
      </c>
      <c r="N14">
        <f>I26*B12/(B3*1000)</f>
        <v>1.0974085304912831E-3</v>
      </c>
      <c r="O14" s="18">
        <f>SQRT(N14/PI())*2</f>
        <v>3.7379993816896294E-2</v>
      </c>
      <c r="P14" s="10" t="s">
        <v>65</v>
      </c>
    </row>
    <row r="15" spans="1:16" ht="17.600000000000001" x14ac:dyDescent="0.55000000000000004">
      <c r="A15">
        <v>29.5</v>
      </c>
      <c r="B15" s="4">
        <f>SQRT(2/($B$9-1)*((A15/$B$3)^((1-$B$9)/$B$9) - 1))</f>
        <v>3.2318389158750964</v>
      </c>
      <c r="C15" s="4">
        <f>1/B15*(2/($B$9+1)*(1 + ($B$9-1)/2*B15^2))^(($B$9+1)/(2*$B$9-2))</f>
        <v>11.117800429086996</v>
      </c>
      <c r="D15" s="4">
        <f t="shared" ref="D15:D78" si="0">$B$6*$B$12/9.81*($B$9*SQRT(2/($B$9-1)*(2/($B$9+1))^(($B$9+1)/($B$9-1))*(1 - (A15/$B$3)^(($B$9-1)/$B$9))) + C15/$B$3*(A15 - $E$5))</f>
        <v>201.64192107242653</v>
      </c>
      <c r="E15" s="4">
        <f>$B$6*$B$12/9.81*($B$9*SQRT(2/($B$9-1)*(2/($B$9+1))^(($B$9+1)/($B$9-1))*(1 - (A15/$B$3)^(($B$9-1)/$B$9))) + C15/$B$3*(A15 - $E$4))</f>
        <v>183.25701186899684</v>
      </c>
      <c r="H15" s="1" t="s">
        <v>33</v>
      </c>
      <c r="I15">
        <f>0.5*B3/E10/B11*1^2</f>
        <v>1.1425727430347209E-3</v>
      </c>
      <c r="J15" s="2" t="s">
        <v>34</v>
      </c>
      <c r="M15" t="s">
        <v>32</v>
      </c>
      <c r="N15">
        <f>N14*N13</f>
        <v>5.3663250599450419E-3</v>
      </c>
      <c r="O15" s="18">
        <f>SQRT(N15/PI())*2</f>
        <v>8.2659647206029863E-2</v>
      </c>
      <c r="P15" s="10" t="s">
        <v>66</v>
      </c>
    </row>
    <row r="16" spans="1:16" ht="17.149999999999999" x14ac:dyDescent="0.55000000000000004">
      <c r="A16">
        <v>29.75</v>
      </c>
      <c r="B16" s="4">
        <f t="shared" ref="B16:B79" si="1">SQRT(2/($B$9-1)*((A16/$B$3)^((1-$B$9)/$B$9) - 1))</f>
        <v>3.2277092282597453</v>
      </c>
      <c r="C16" s="4">
        <f t="shared" ref="C16:C79" si="2">1/B16*(2/($B$9+1)*(1 + ($B$9-1)/2*B16^2))^(($B$9+1)/(2*$B$9-2))</f>
        <v>11.044894424071542</v>
      </c>
      <c r="D16" s="4">
        <f t="shared" si="0"/>
        <v>201.74907721695604</v>
      </c>
      <c r="E16" s="4">
        <f t="shared" ref="E16:E78" si="3">$B$6*$B$12/9.81*($B$9*SQRT(2/($B$9-1)*(2/($B$9+1))^(($B$9+1)/($B$9-1))*(1 - (A16/$B$3)^(($B$9-1)/$B$9))) + C16/$B$3*(A16 - $E$4))</f>
        <v>183.48472875673659</v>
      </c>
      <c r="H16" s="1" t="s">
        <v>36</v>
      </c>
      <c r="I16" s="16">
        <f>B3+I13+I14+I15</f>
        <v>2895.7992057034553</v>
      </c>
      <c r="J16" s="4">
        <f>CONVERT(I16*1000, "Pa", "psi")</f>
        <v>420.0001657161659</v>
      </c>
    </row>
    <row r="17" spans="1:19" x14ac:dyDescent="0.4">
      <c r="A17">
        <v>30</v>
      </c>
      <c r="B17" s="4">
        <f t="shared" si="1"/>
        <v>3.2236136202433685</v>
      </c>
      <c r="C17" s="4">
        <f t="shared" si="2"/>
        <v>10.973089998262836</v>
      </c>
      <c r="D17" s="4">
        <f t="shared" si="0"/>
        <v>201.85362894294283</v>
      </c>
      <c r="E17" s="4">
        <f t="shared" si="3"/>
        <v>183.70801960358793</v>
      </c>
    </row>
    <row r="18" spans="1:19" x14ac:dyDescent="0.4">
      <c r="A18">
        <v>30.25</v>
      </c>
      <c r="B18" s="4">
        <f t="shared" si="1"/>
        <v>3.2195515229580884</v>
      </c>
      <c r="C18" s="4">
        <f t="shared" si="2"/>
        <v>10.902361489582898</v>
      </c>
      <c r="D18" s="4">
        <f t="shared" si="0"/>
        <v>201.95564349677511</v>
      </c>
      <c r="E18" s="4">
        <f t="shared" si="3"/>
        <v>183.92699409193858</v>
      </c>
    </row>
    <row r="19" spans="1:19" x14ac:dyDescent="0.4">
      <c r="A19">
        <v>30.5</v>
      </c>
      <c r="B19" s="4">
        <f t="shared" si="1"/>
        <v>3.2155223816641669</v>
      </c>
      <c r="C19" s="4">
        <f t="shared" si="2"/>
        <v>10.832684040025288</v>
      </c>
      <c r="D19" s="4">
        <f t="shared" si="0"/>
        <v>202.05518591967723</v>
      </c>
      <c r="E19" s="4">
        <f t="shared" si="3"/>
        <v>184.14175836936258</v>
      </c>
      <c r="H19" t="s">
        <v>37</v>
      </c>
      <c r="K19" t="s">
        <v>38</v>
      </c>
    </row>
    <row r="20" spans="1:19" ht="17.600000000000001" x14ac:dyDescent="0.55000000000000004">
      <c r="A20">
        <v>30.75</v>
      </c>
      <c r="B20" s="4">
        <f t="shared" si="1"/>
        <v>3.2115256552862563</v>
      </c>
      <c r="C20" s="4">
        <f t="shared" si="2"/>
        <v>10.764033564110296</v>
      </c>
      <c r="D20" s="4">
        <f t="shared" si="0"/>
        <v>202.1523191364785</v>
      </c>
      <c r="E20" s="4">
        <f t="shared" si="3"/>
        <v>184.3524151895528</v>
      </c>
      <c r="H20" t="s">
        <v>39</v>
      </c>
      <c r="I20" s="14">
        <f>CONVERT(60, "lbm", "kg")</f>
        <v>27.215542200000002</v>
      </c>
      <c r="K20" t="s">
        <v>40</v>
      </c>
      <c r="L20" s="13">
        <v>400</v>
      </c>
      <c r="M20" s="10" t="s">
        <v>41</v>
      </c>
    </row>
    <row r="21" spans="1:19" ht="17.600000000000001" x14ac:dyDescent="0.55000000000000004">
      <c r="A21">
        <v>31</v>
      </c>
      <c r="B21" s="4">
        <f t="shared" si="1"/>
        <v>3.2075608159684919</v>
      </c>
      <c r="C21" s="4">
        <f t="shared" si="2"/>
        <v>10.69638671882263</v>
      </c>
      <c r="D21" s="4">
        <f t="shared" si="0"/>
        <v>202.2471040401401</v>
      </c>
      <c r="E21" s="4">
        <f t="shared" si="3"/>
        <v>184.55906404656065</v>
      </c>
      <c r="H21" t="s">
        <v>42</v>
      </c>
      <c r="I21" s="4">
        <f>I20*EXP(E1/H10/9.81)</f>
        <v>35.96359833084643</v>
      </c>
      <c r="K21" t="s">
        <v>43</v>
      </c>
      <c r="L21" s="21">
        <f>I28/1/L20</f>
        <v>3.9741688194005562E-3</v>
      </c>
      <c r="M21" s="4">
        <f>L21*100^2</f>
        <v>39.741688194005562</v>
      </c>
      <c r="N21" t="s">
        <v>44</v>
      </c>
      <c r="O21" t="s">
        <v>67</v>
      </c>
    </row>
    <row r="22" spans="1:19" ht="17.149999999999999" x14ac:dyDescent="0.55000000000000004">
      <c r="A22">
        <v>31.25</v>
      </c>
      <c r="B22" s="4">
        <f t="shared" si="1"/>
        <v>3.2036273486475526</v>
      </c>
      <c r="C22" s="4">
        <f t="shared" si="2"/>
        <v>10.629720874950658</v>
      </c>
      <c r="D22" s="4">
        <f t="shared" si="0"/>
        <v>202.33959957227492</v>
      </c>
      <c r="E22" s="4">
        <f t="shared" si="3"/>
        <v>184.76180130271038</v>
      </c>
      <c r="H22" t="s">
        <v>45</v>
      </c>
      <c r="I22" s="7">
        <f>I21-I20</f>
        <v>8.7480561308464289</v>
      </c>
      <c r="K22" t="s">
        <v>46</v>
      </c>
      <c r="L22" s="17">
        <f>2*SQRT(L21/PI())</f>
        <v>7.1134161261058274E-2</v>
      </c>
      <c r="M22" s="4">
        <f>L22*100</f>
        <v>7.1134161261058271</v>
      </c>
      <c r="N22" t="s">
        <v>47</v>
      </c>
      <c r="O22" s="8">
        <f>CONVERT(L22, "m", "in")</f>
        <v>2.8005575299629242</v>
      </c>
      <c r="P22" s="4"/>
    </row>
    <row r="23" spans="1:19" ht="17.149999999999999" x14ac:dyDescent="0.55000000000000004">
      <c r="A23">
        <v>31.5</v>
      </c>
      <c r="B23" s="4">
        <f t="shared" si="1"/>
        <v>3.199724750642805</v>
      </c>
      <c r="C23" s="4">
        <f t="shared" si="2"/>
        <v>10.564014089751263</v>
      </c>
      <c r="D23" s="4">
        <f t="shared" si="0"/>
        <v>202.42986279987988</v>
      </c>
      <c r="E23" s="4">
        <f t="shared" si="3"/>
        <v>184.96072031053424</v>
      </c>
      <c r="H23" t="s">
        <v>48</v>
      </c>
      <c r="I23" s="15">
        <f>I22/(1+B2)</f>
        <v>1.1664074841128571</v>
      </c>
      <c r="K23" t="s">
        <v>49</v>
      </c>
      <c r="L23" s="18">
        <f>(I27*PI()^(0.5-1)/(0.155/1000*(4*I26)^0.5*900)*L22^(2*0.5-1))^(1/(0+1))</f>
        <v>0.36516294574454078</v>
      </c>
      <c r="M23" s="4">
        <f>L23*100</f>
        <v>36.516294574454079</v>
      </c>
      <c r="N23" t="s">
        <v>47</v>
      </c>
      <c r="O23" s="8">
        <f>CONVERT(L23, "m", "in")</f>
        <v>14.376493926950424</v>
      </c>
      <c r="P23" s="10" t="s">
        <v>68</v>
      </c>
    </row>
    <row r="24" spans="1:19" ht="17.149999999999999" x14ac:dyDescent="0.55000000000000004">
      <c r="A24">
        <v>31.75</v>
      </c>
      <c r="B24" s="4">
        <f t="shared" si="1"/>
        <v>3.1958525312627222</v>
      </c>
      <c r="C24" s="4">
        <f t="shared" si="2"/>
        <v>10.499245080868878</v>
      </c>
      <c r="D24" s="4">
        <f t="shared" si="0"/>
        <v>202.51794898848686</v>
      </c>
      <c r="E24" s="4">
        <f t="shared" si="3"/>
        <v>185.15591152905191</v>
      </c>
      <c r="H24" t="s">
        <v>51</v>
      </c>
      <c r="I24" s="15">
        <f>I22-I23</f>
        <v>7.581648646733572</v>
      </c>
      <c r="K24" t="s">
        <v>52</v>
      </c>
      <c r="L24" s="18">
        <f>SQRT(4*I23/PI()/L23/900/1 + L22^2)</f>
        <v>9.7872125864864629E-2</v>
      </c>
      <c r="M24" s="4">
        <f t="shared" ref="M24:M25" si="4">L24*100</f>
        <v>9.7872125864864632</v>
      </c>
      <c r="N24" t="s">
        <v>47</v>
      </c>
      <c r="O24" s="8">
        <f t="shared" ref="O24:O25" si="5">CONVERT(L24, "m", "in")</f>
        <v>3.8532333017663238</v>
      </c>
    </row>
    <row r="25" spans="1:19" ht="17.149999999999999" x14ac:dyDescent="0.55000000000000004">
      <c r="A25">
        <v>32</v>
      </c>
      <c r="B25" s="4">
        <f t="shared" si="1"/>
        <v>3.1920102114268092</v>
      </c>
      <c r="C25" s="4">
        <f t="shared" si="2"/>
        <v>10.435393201442052</v>
      </c>
      <c r="D25" s="4">
        <f t="shared" si="0"/>
        <v>202.60391167192535</v>
      </c>
      <c r="E25" s="4">
        <f t="shared" si="3"/>
        <v>185.34746263469836</v>
      </c>
      <c r="H25" t="s">
        <v>53</v>
      </c>
      <c r="I25" s="7">
        <f>I20/I21</f>
        <v>0.75675247926058864</v>
      </c>
      <c r="K25" t="s">
        <v>54</v>
      </c>
      <c r="L25" s="18">
        <f>(L24-L22)/2</f>
        <v>1.3368982301903178E-2</v>
      </c>
      <c r="M25" s="4">
        <f t="shared" si="4"/>
        <v>1.3368982301903178</v>
      </c>
      <c r="N25" t="s">
        <v>47</v>
      </c>
      <c r="O25" s="4">
        <f t="shared" si="5"/>
        <v>0.52633788590169994</v>
      </c>
    </row>
    <row r="26" spans="1:19" ht="17.149999999999999" x14ac:dyDescent="0.55000000000000004">
      <c r="A26">
        <v>32.25</v>
      </c>
      <c r="B26" s="4">
        <f t="shared" si="1"/>
        <v>3.1881973233023104</v>
      </c>
      <c r="C26" s="4">
        <f t="shared" si="2"/>
        <v>10.372438416334338</v>
      </c>
      <c r="D26" s="4">
        <f t="shared" si="0"/>
        <v>202.68780271887917</v>
      </c>
      <c r="E26" s="4">
        <f t="shared" si="3"/>
        <v>185.5354586271861</v>
      </c>
      <c r="H26" t="s">
        <v>55</v>
      </c>
      <c r="I26" s="15">
        <f>B4*I21/H10</f>
        <v>1.8342317628002567</v>
      </c>
      <c r="K26" t="s">
        <v>69</v>
      </c>
    </row>
    <row r="27" spans="1:19" ht="17.149999999999999" x14ac:dyDescent="0.55000000000000004">
      <c r="A27">
        <v>32.5</v>
      </c>
      <c r="B27" s="4">
        <f t="shared" si="1"/>
        <v>3.1844134099549994</v>
      </c>
      <c r="C27" s="4">
        <f t="shared" si="2"/>
        <v>10.310361279430694</v>
      </c>
      <c r="D27" s="4">
        <f t="shared" si="0"/>
        <v>202.76967239640638</v>
      </c>
      <c r="E27" s="4">
        <f t="shared" si="3"/>
        <v>185.71998193056868</v>
      </c>
      <c r="H27" t="s">
        <v>57</v>
      </c>
      <c r="I27" s="8">
        <f>I26/(1 + B2)</f>
        <v>0.24456423504003422</v>
      </c>
      <c r="L27" s="10" t="s">
        <v>70</v>
      </c>
      <c r="M27" s="20"/>
    </row>
    <row r="28" spans="1:19" ht="17.149999999999999" x14ac:dyDescent="0.55000000000000004">
      <c r="A28">
        <v>32.75</v>
      </c>
      <c r="B28" s="4">
        <f t="shared" si="1"/>
        <v>3.1806580250134262</v>
      </c>
      <c r="C28" s="4">
        <f t="shared" si="2"/>
        <v>10.249142911943849</v>
      </c>
      <c r="D28" s="4">
        <f t="shared" si="0"/>
        <v>202.84956943058421</v>
      </c>
      <c r="E28" s="4">
        <f t="shared" si="3"/>
        <v>185.90111248975956</v>
      </c>
      <c r="H28" t="s">
        <v>58</v>
      </c>
      <c r="I28" s="7">
        <f>I26-I27</f>
        <v>1.5896675277602226</v>
      </c>
    </row>
    <row r="29" spans="1:19" x14ac:dyDescent="0.4">
      <c r="A29">
        <v>33</v>
      </c>
      <c r="B29" s="4">
        <f t="shared" si="1"/>
        <v>3.1769307323459683</v>
      </c>
      <c r="C29" s="4">
        <f t="shared" si="2"/>
        <v>10.18876498167814</v>
      </c>
      <c r="D29" s="4">
        <f t="shared" si="0"/>
        <v>202.9275410644282</v>
      </c>
      <c r="E29" s="4">
        <f t="shared" si="3"/>
        <v>186.07892786274115</v>
      </c>
      <c r="H29" s="1"/>
      <c r="I29" s="7"/>
      <c r="S29" s="7"/>
    </row>
    <row r="30" spans="1:19" x14ac:dyDescent="0.4">
      <c r="A30">
        <v>33.25</v>
      </c>
      <c r="B30" s="4">
        <f t="shared" si="1"/>
        <v>3.1732311057501463</v>
      </c>
      <c r="C30" s="4">
        <f t="shared" si="2"/>
        <v>10.129209683202019</v>
      </c>
      <c r="D30" s="4">
        <f t="shared" si="0"/>
        <v>203.00363311322806</v>
      </c>
      <c r="E30" s="4">
        <f t="shared" si="3"/>
        <v>186.25350330868872</v>
      </c>
      <c r="K30" s="4"/>
      <c r="M30" s="4"/>
      <c r="N30" s="4"/>
    </row>
    <row r="31" spans="1:19" x14ac:dyDescent="0.4">
      <c r="A31">
        <v>33.5</v>
      </c>
      <c r="B31" s="4">
        <f t="shared" si="1"/>
        <v>3.1695587286536098</v>
      </c>
      <c r="C31" s="4">
        <f t="shared" si="2"/>
        <v>10.070459718882576</v>
      </c>
      <c r="D31" s="4">
        <f t="shared" si="0"/>
        <v>203.07789001743348</v>
      </c>
      <c r="E31" s="4">
        <f t="shared" si="3"/>
        <v>186.42491187221805</v>
      </c>
      <c r="H31" s="22" t="s">
        <v>71</v>
      </c>
    </row>
    <row r="32" spans="1:19" x14ac:dyDescent="0.4">
      <c r="A32">
        <v>33.75</v>
      </c>
      <c r="B32" s="4">
        <f t="shared" si="1"/>
        <v>3.1659131938262997</v>
      </c>
      <c r="C32" s="4">
        <f t="shared" si="2"/>
        <v>10.012498280738667</v>
      </c>
      <c r="D32" s="4">
        <f t="shared" si="0"/>
        <v>203.15035489321497</v>
      </c>
      <c r="E32" s="4">
        <f t="shared" si="3"/>
        <v>186.59322446395495</v>
      </c>
      <c r="H32" t="s">
        <v>37</v>
      </c>
      <c r="K32" t="s">
        <v>38</v>
      </c>
    </row>
    <row r="33" spans="1:15" ht="17.600000000000001" x14ac:dyDescent="0.55000000000000004">
      <c r="A33">
        <v>34</v>
      </c>
      <c r="B33" s="4">
        <f t="shared" si="1"/>
        <v>3.1622941031032799</v>
      </c>
      <c r="C33" s="4">
        <f t="shared" si="2"/>
        <v>9.9553090330716341</v>
      </c>
      <c r="D33" s="4">
        <f t="shared" si="0"/>
        <v>203.22106958081855</v>
      </c>
      <c r="E33" s="4">
        <f t="shared" si="3"/>
        <v>186.75850993761259</v>
      </c>
      <c r="H33" t="s">
        <v>39</v>
      </c>
      <c r="I33" s="14">
        <f>I20</f>
        <v>27.215542200000002</v>
      </c>
      <c r="K33" t="s">
        <v>40</v>
      </c>
      <c r="L33" s="13">
        <v>400</v>
      </c>
      <c r="M33" s="10" t="s">
        <v>41</v>
      </c>
    </row>
    <row r="34" spans="1:15" ht="17.600000000000001" x14ac:dyDescent="0.55000000000000004">
      <c r="A34">
        <v>34.25</v>
      </c>
      <c r="B34" s="4">
        <f t="shared" si="1"/>
        <v>3.1587010671177609</v>
      </c>
      <c r="C34" s="4">
        <f t="shared" si="2"/>
        <v>9.8988760958345186</v>
      </c>
      <c r="D34" s="4">
        <f t="shared" si="0"/>
        <v>203.29007469082509</v>
      </c>
      <c r="E34" s="4">
        <f t="shared" si="3"/>
        <v>186.92083516375226</v>
      </c>
      <c r="H34" t="s">
        <v>42</v>
      </c>
      <c r="I34" s="4">
        <f>I33+I35</f>
        <v>36.446311430769228</v>
      </c>
      <c r="K34" t="s">
        <v>43</v>
      </c>
      <c r="L34" s="21">
        <f>I41/1/L33</f>
        <v>4.0275111833314751E-3</v>
      </c>
      <c r="M34" s="4">
        <f>L34*100^2</f>
        <v>40.275111833314753</v>
      </c>
      <c r="N34" t="s">
        <v>44</v>
      </c>
      <c r="O34" t="s">
        <v>67</v>
      </c>
    </row>
    <row r="35" spans="1:15" ht="17.149999999999999" x14ac:dyDescent="0.55000000000000004">
      <c r="A35">
        <v>34.5</v>
      </c>
      <c r="B35" s="4">
        <f t="shared" si="1"/>
        <v>3.1551337050438826</v>
      </c>
      <c r="C35" s="4">
        <f t="shared" si="2"/>
        <v>9.8431840287036305</v>
      </c>
      <c r="D35" s="4">
        <f t="shared" si="0"/>
        <v>203.3574096484198</v>
      </c>
      <c r="E35" s="4">
        <f t="shared" si="3"/>
        <v>187.08026510039278</v>
      </c>
      <c r="H35" t="s">
        <v>45</v>
      </c>
      <c r="I35" s="7">
        <f>I36+I37</f>
        <v>9.2307692307692299</v>
      </c>
      <c r="K35" t="s">
        <v>46</v>
      </c>
      <c r="L35" s="17">
        <f>2*SQRT(L34/PI())</f>
        <v>7.1609960937573089E-2</v>
      </c>
      <c r="M35" s="4">
        <f>L35*100</f>
        <v>7.1609960937573085</v>
      </c>
      <c r="N35" t="s">
        <v>47</v>
      </c>
      <c r="O35" s="8">
        <f>CONVERT(L35, "m", "in")</f>
        <v>2.8192898006918536</v>
      </c>
    </row>
    <row r="36" spans="1:15" ht="17.149999999999999" x14ac:dyDescent="0.55000000000000004">
      <c r="A36">
        <v>34.75</v>
      </c>
      <c r="B36" s="4">
        <f t="shared" si="1"/>
        <v>3.1515916443488221</v>
      </c>
      <c r="C36" s="4">
        <f t="shared" si="2"/>
        <v>9.7882178158177009</v>
      </c>
      <c r="D36" s="4">
        <f t="shared" si="0"/>
        <v>203.42311273577064</v>
      </c>
      <c r="E36" s="4">
        <f t="shared" si="3"/>
        <v>187.23686286062519</v>
      </c>
      <c r="H36" t="s">
        <v>48</v>
      </c>
      <c r="I36" s="15">
        <f>I37/B2</f>
        <v>1.2307692307692308</v>
      </c>
      <c r="K36" t="s">
        <v>49</v>
      </c>
      <c r="L36" s="18">
        <f>(I40*PI()^(0.5-1)/(0.155/1000*(4*I39)^0.5*900)*L35^(2*0.5-1))^(1/(0+1))</f>
        <v>0.36760543481561897</v>
      </c>
      <c r="M36" s="4">
        <f>L36*100</f>
        <v>36.760543481561896</v>
      </c>
      <c r="N36" t="s">
        <v>47</v>
      </c>
      <c r="O36" s="8">
        <f t="shared" ref="O36:O38" si="6">CONVERT(L36, "m", "in")</f>
        <v>14.472654914000747</v>
      </c>
    </row>
    <row r="37" spans="1:15" ht="17.149999999999999" x14ac:dyDescent="0.55000000000000004">
      <c r="A37">
        <v>35</v>
      </c>
      <c r="B37" s="4">
        <f t="shared" si="1"/>
        <v>3.148074520553823</v>
      </c>
      <c r="C37" s="4">
        <f t="shared" si="2"/>
        <v>9.7339628511520768</v>
      </c>
      <c r="D37" s="4">
        <f t="shared" si="0"/>
        <v>203.48722113260945</v>
      </c>
      <c r="E37" s="4">
        <f t="shared" si="3"/>
        <v>187.39068977737941</v>
      </c>
      <c r="H37" t="s">
        <v>51</v>
      </c>
      <c r="I37" s="23">
        <v>8</v>
      </c>
      <c r="K37" t="s">
        <v>52</v>
      </c>
      <c r="L37" s="18">
        <f>SQRT(4*I36/PI()/L36/900/1 + L35^2)</f>
        <v>9.9320383486818112E-2</v>
      </c>
      <c r="M37" s="4">
        <f t="shared" ref="M37:M38" si="7">L37*100</f>
        <v>9.9320383486818109</v>
      </c>
      <c r="N37" t="s">
        <v>47</v>
      </c>
      <c r="O37" s="8">
        <f t="shared" si="6"/>
        <v>3.9102513183786658</v>
      </c>
    </row>
    <row r="38" spans="1:15" ht="17.149999999999999" x14ac:dyDescent="0.55000000000000004">
      <c r="A38">
        <v>35.25</v>
      </c>
      <c r="B38" s="4">
        <f t="shared" si="1"/>
        <v>3.14458197700377</v>
      </c>
      <c r="C38" s="4">
        <f t="shared" si="2"/>
        <v>9.680404924497406</v>
      </c>
      <c r="D38" s="4">
        <f t="shared" si="0"/>
        <v>203.54977095510327</v>
      </c>
      <c r="E38" s="4">
        <f t="shared" si="3"/>
        <v>187.54180546548221</v>
      </c>
      <c r="H38" t="s">
        <v>53</v>
      </c>
      <c r="I38" s="7">
        <f>I33/I34</f>
        <v>0.74672967254029732</v>
      </c>
      <c r="K38" t="s">
        <v>54</v>
      </c>
      <c r="L38" s="18">
        <f>(L37-L35)/2</f>
        <v>1.3855211274622511E-2</v>
      </c>
      <c r="M38" s="4">
        <f t="shared" si="7"/>
        <v>1.3855211274622512</v>
      </c>
      <c r="N38" t="s">
        <v>47</v>
      </c>
      <c r="O38" s="4">
        <f t="shared" si="6"/>
        <v>0.54548075884340597</v>
      </c>
    </row>
    <row r="39" spans="1:15" ht="17.149999999999999" x14ac:dyDescent="0.55000000000000004">
      <c r="A39">
        <v>35.5</v>
      </c>
      <c r="B39" s="4">
        <f t="shared" si="1"/>
        <v>3.1411136646449429</v>
      </c>
      <c r="C39" s="4">
        <f t="shared" si="2"/>
        <v>9.6275302080135035</v>
      </c>
      <c r="D39" s="4">
        <f t="shared" si="0"/>
        <v>203.61079729309969</v>
      </c>
      <c r="E39" s="4">
        <f t="shared" si="3"/>
        <v>187.69026788113754</v>
      </c>
      <c r="H39" t="s">
        <v>55</v>
      </c>
      <c r="I39" s="15">
        <f>B4*I34/H10</f>
        <v>1.8588513153837576</v>
      </c>
      <c r="L39" s="10" t="s">
        <v>70</v>
      </c>
    </row>
    <row r="40" spans="1:15" ht="17.149999999999999" x14ac:dyDescent="0.55000000000000004">
      <c r="A40">
        <v>35.75</v>
      </c>
      <c r="B40" s="4">
        <f t="shared" si="1"/>
        <v>3.137669241810602</v>
      </c>
      <c r="C40" s="4">
        <f t="shared" si="2"/>
        <v>9.5753252433310863</v>
      </c>
      <c r="D40" s="4">
        <f t="shared" si="0"/>
        <v>203.6703342458257</v>
      </c>
      <c r="E40" s="4">
        <f t="shared" si="3"/>
        <v>187.83613337895449</v>
      </c>
      <c r="H40" t="s">
        <v>57</v>
      </c>
      <c r="I40" s="8">
        <f>I39/(1 + B2)</f>
        <v>0.24784684205116767</v>
      </c>
      <c r="M40" s="20"/>
    </row>
    <row r="41" spans="1:15" ht="17.149999999999999" x14ac:dyDescent="0.55000000000000004">
      <c r="A41">
        <v>36</v>
      </c>
      <c r="B41" s="4">
        <f t="shared" si="1"/>
        <v>3.1342483740140752</v>
      </c>
      <c r="C41" s="4">
        <f t="shared" si="2"/>
        <v>9.5237769291752787</v>
      </c>
      <c r="D41" s="4">
        <f t="shared" si="0"/>
        <v>203.72841495611229</v>
      </c>
      <c r="E41" s="4">
        <f t="shared" si="3"/>
        <v>187.97945676663838</v>
      </c>
      <c r="H41" t="s">
        <v>58</v>
      </c>
      <c r="I41" s="7">
        <f>I39-I40</f>
        <v>1.6110044733325899</v>
      </c>
    </row>
    <row r="42" spans="1:15" x14ac:dyDescent="0.4">
      <c r="A42">
        <v>36.25</v>
      </c>
      <c r="B42" s="4">
        <f t="shared" si="1"/>
        <v>3.1308507337490386</v>
      </c>
      <c r="C42" s="4">
        <f t="shared" si="2"/>
        <v>9.4728725094864732</v>
      </c>
      <c r="D42" s="4">
        <f t="shared" si="0"/>
        <v>203.78507164321729</v>
      </c>
      <c r="E42" s="4">
        <f t="shared" si="3"/>
        <v>188.12029135745743</v>
      </c>
    </row>
    <row r="43" spans="1:15" x14ac:dyDescent="0.4">
      <c r="A43">
        <v>36.5</v>
      </c>
      <c r="B43" s="4">
        <f t="shared" si="1"/>
        <v>3.127476000296689</v>
      </c>
      <c r="C43" s="4">
        <f t="shared" si="2"/>
        <v>9.4225995620151188</v>
      </c>
      <c r="D43" s="4">
        <f t="shared" si="0"/>
        <v>203.84033563431188</v>
      </c>
      <c r="E43" s="4">
        <f t="shared" si="3"/>
        <v>188.25868902058949</v>
      </c>
    </row>
    <row r="44" spans="1:15" x14ac:dyDescent="0.4">
      <c r="A44">
        <v>36.75</v>
      </c>
      <c r="B44" s="4">
        <f t="shared" si="1"/>
        <v>3.1241238595395324</v>
      </c>
      <c r="C44" s="4">
        <f t="shared" si="2"/>
        <v>9.3729459873687002</v>
      </c>
      <c r="D44" s="4">
        <f t="shared" si="0"/>
        <v>203.89423739469356</v>
      </c>
      <c r="E44" s="4">
        <f t="shared" si="3"/>
        <v>188.39470022944735</v>
      </c>
    </row>
    <row r="45" spans="1:15" x14ac:dyDescent="0.4">
      <c r="A45">
        <v>37</v>
      </c>
      <c r="B45" s="4">
        <f t="shared" si="1"/>
        <v>3.1207940037814992</v>
      </c>
      <c r="C45" s="4">
        <f t="shared" si="2"/>
        <v>9.3238999984895106</v>
      </c>
      <c r="D45" s="4">
        <f t="shared" si="0"/>
        <v>203.94680655678616</v>
      </c>
      <c r="E45" s="4">
        <f t="shared" si="3"/>
        <v>188.52837410807874</v>
      </c>
    </row>
    <row r="46" spans="1:15" x14ac:dyDescent="0.4">
      <c r="A46">
        <v>37.25</v>
      </c>
      <c r="B46" s="4">
        <f t="shared" si="1"/>
        <v>3.1174861315741578</v>
      </c>
      <c r="C46" s="4">
        <f t="shared" si="2"/>
        <v>9.2754501105442202</v>
      </c>
      <c r="D46" s="4">
        <f t="shared" si="0"/>
        <v>203.99807194798166</v>
      </c>
      <c r="E46" s="4">
        <f t="shared" si="3"/>
        <v>188.65975847572753</v>
      </c>
    </row>
    <row r="47" spans="1:15" x14ac:dyDescent="0.4">
      <c r="A47">
        <v>37.5</v>
      </c>
      <c r="B47" s="4">
        <f t="shared" si="1"/>
        <v>3.114199947548753</v>
      </c>
      <c r="C47" s="4">
        <f t="shared" si="2"/>
        <v>9.2275851312057746</v>
      </c>
      <c r="D47" s="4">
        <f t="shared" si="0"/>
        <v>204.04806161737903</v>
      </c>
      <c r="E47" s="4">
        <f t="shared" si="3"/>
        <v>188.78889988964261</v>
      </c>
    </row>
    <row r="48" spans="1:15" x14ac:dyDescent="0.4">
      <c r="A48">
        <v>37.75</v>
      </c>
      <c r="B48" s="4">
        <f t="shared" si="1"/>
        <v>3.1109351622538566</v>
      </c>
      <c r="C48" s="4">
        <f t="shared" si="2"/>
        <v>9.1802941513103917</v>
      </c>
      <c r="D48" s="4">
        <f t="shared" si="0"/>
        <v>204.09680286146965</v>
      </c>
      <c r="E48" s="4">
        <f t="shared" si="3"/>
        <v>188.91584368621321</v>
      </c>
    </row>
    <row r="49" spans="1:5" x14ac:dyDescent="0.4">
      <c r="A49">
        <v>38</v>
      </c>
      <c r="B49" s="4">
        <f t="shared" si="1"/>
        <v>3.1076914919983958</v>
      </c>
      <c r="C49" s="4">
        <f t="shared" si="2"/>
        <v>9.1335665358725997</v>
      </c>
      <c r="D49" s="4">
        <f t="shared" si="0"/>
        <v>204.1443222488171</v>
      </c>
      <c r="E49" s="4">
        <f t="shared" si="3"/>
        <v>189.04063402050701</v>
      </c>
    </row>
    <row r="50" spans="1:5" x14ac:dyDescent="0.4">
      <c r="A50">
        <v>38.25</v>
      </c>
      <c r="B50" s="4">
        <f t="shared" si="1"/>
        <v>3.1044686586998496</v>
      </c>
      <c r="C50" s="4">
        <f t="shared" si="2"/>
        <v>9.0873919154423266</v>
      </c>
      <c r="D50" s="4">
        <f t="shared" si="0"/>
        <v>204.19064564377783</v>
      </c>
      <c r="E50" s="4">
        <f t="shared" si="3"/>
        <v>189.16331390428297</v>
      </c>
    </row>
    <row r="51" spans="1:5" x14ac:dyDescent="0.4">
      <c r="A51">
        <v>38.5</v>
      </c>
      <c r="B51" s="4">
        <f t="shared" si="1"/>
        <v>3.1012663897374155</v>
      </c>
      <c r="C51" s="4">
        <f t="shared" si="2"/>
        <v>9.0417601777889409</v>
      </c>
      <c r="D51" s="4">
        <f t="shared" si="0"/>
        <v>204.23579822930515</v>
      </c>
      <c r="E51" s="4">
        <f t="shared" si="3"/>
        <v>189.28392524254681</v>
      </c>
    </row>
    <row r="52" spans="1:5" x14ac:dyDescent="0.4">
      <c r="A52">
        <v>38.75</v>
      </c>
      <c r="B52" s="4">
        <f t="shared" si="1"/>
        <v>3.0980844178099414</v>
      </c>
      <c r="C52" s="4">
        <f t="shared" si="2"/>
        <v>8.9966614598977852</v>
      </c>
      <c r="D52" s="4">
        <f t="shared" si="0"/>
        <v>204.27980452887752</v>
      </c>
      <c r="E52" s="4">
        <f t="shared" si="3"/>
        <v>189.40250886871436</v>
      </c>
    </row>
    <row r="53" spans="1:5" x14ac:dyDescent="0.4">
      <c r="A53">
        <v>39</v>
      </c>
      <c r="B53" s="4">
        <f t="shared" si="1"/>
        <v>3.0949224807984534</v>
      </c>
      <c r="C53" s="4">
        <f t="shared" si="2"/>
        <v>8.9520861402656884</v>
      </c>
      <c r="D53" s="4">
        <f t="shared" si="0"/>
        <v>204.32268842759032</v>
      </c>
      <c r="E53" s="4">
        <f t="shared" si="3"/>
        <v>189.51910457844383</v>
      </c>
    </row>
    <row r="54" spans="1:5" x14ac:dyDescent="0.4">
      <c r="A54">
        <v>39.25</v>
      </c>
      <c r="B54" s="4">
        <f t="shared" si="1"/>
        <v>3.0917803216330855</v>
      </c>
      <c r="C54" s="4">
        <f t="shared" si="2"/>
        <v>8.9080248314821162</v>
      </c>
      <c r="D54" s="4">
        <f t="shared" si="0"/>
        <v>204.36447319244786</v>
      </c>
      <c r="E54" s="4">
        <f t="shared" si="3"/>
        <v>189.63375116219595</v>
      </c>
    </row>
    <row r="55" spans="1:5" x14ac:dyDescent="0.4">
      <c r="A55">
        <v>39.5</v>
      </c>
      <c r="B55" s="4">
        <f t="shared" si="1"/>
        <v>3.0886576881642576</v>
      </c>
      <c r="C55" s="4">
        <f t="shared" si="2"/>
        <v>8.8644683730839997</v>
      </c>
      <c r="D55" s="4">
        <f t="shared" si="0"/>
        <v>204.40518149189103</v>
      </c>
      <c r="E55" s="4">
        <f t="shared" si="3"/>
        <v>189.74648643657719</v>
      </c>
    </row>
    <row r="56" spans="1:5" x14ac:dyDescent="0.4">
      <c r="A56">
        <v>39.75</v>
      </c>
      <c r="B56" s="4">
        <f t="shared" si="1"/>
        <v>3.0855543330379356</v>
      </c>
      <c r="C56" s="4">
        <f t="shared" si="2"/>
        <v>8.8214078246723417</v>
      </c>
      <c r="D56" s="4">
        <f t="shared" si="0"/>
        <v>204.44483541459283</v>
      </c>
      <c r="E56" s="4">
        <f t="shared" si="3"/>
        <v>189.85734727451799</v>
      </c>
    </row>
    <row r="57" spans="1:5" x14ac:dyDescent="0.4">
      <c r="A57">
        <v>40</v>
      </c>
      <c r="B57" s="4">
        <f t="shared" si="1"/>
        <v>3.0824700135748109</v>
      </c>
      <c r="C57" s="4">
        <f t="shared" si="2"/>
        <v>8.778834459279194</v>
      </c>
      <c r="D57" s="4">
        <f t="shared" si="0"/>
        <v>204.48345648755554</v>
      </c>
      <c r="E57" s="4">
        <f t="shared" si="3"/>
        <v>189.96636963433863</v>
      </c>
    </row>
    <row r="58" spans="1:5" x14ac:dyDescent="0.4">
      <c r="A58">
        <v>40.25</v>
      </c>
      <c r="B58" s="4">
        <f t="shared" si="1"/>
        <v>3.0794044916532686</v>
      </c>
      <c r="C58" s="4">
        <f t="shared" si="2"/>
        <v>8.7367397569749077</v>
      </c>
      <c r="D58" s="4">
        <f t="shared" si="0"/>
        <v>204.52106569353708</v>
      </c>
      <c r="E58" s="4">
        <f t="shared" si="3"/>
        <v>190.07358858774694</v>
      </c>
    </row>
    <row r="59" spans="1:5" x14ac:dyDescent="0.4">
      <c r="A59">
        <v>40.5</v>
      </c>
      <c r="B59" s="4">
        <f t="shared" si="1"/>
        <v>3.0763575335959841</v>
      </c>
      <c r="C59" s="4">
        <f t="shared" si="2"/>
        <v>8.695115398704937</v>
      </c>
      <c r="D59" s="4">
        <f t="shared" si="0"/>
        <v>204.55768348783738</v>
      </c>
      <c r="E59" s="4">
        <f t="shared" si="3"/>
        <v>190.17903834681627</v>
      </c>
    </row>
    <row r="60" spans="1:5" x14ac:dyDescent="0.4">
      <c r="A60">
        <v>40.75</v>
      </c>
      <c r="B60" s="4">
        <f t="shared" si="1"/>
        <v>3.0733289100600345</v>
      </c>
      <c r="C60" s="4">
        <f t="shared" si="2"/>
        <v>8.6539532603471372</v>
      </c>
      <c r="D60" s="4">
        <f t="shared" si="0"/>
        <v>204.59332981447099</v>
      </c>
      <c r="E60" s="4">
        <f t="shared" si="3"/>
        <v>190.28275228998561</v>
      </c>
    </row>
    <row r="61" spans="1:5" x14ac:dyDescent="0.4">
      <c r="A61">
        <v>41</v>
      </c>
      <c r="B61" s="4">
        <f t="shared" si="1"/>
        <v>3.0703183959303781</v>
      </c>
      <c r="C61" s="4">
        <f t="shared" si="2"/>
        <v>8.6132454069799635</v>
      </c>
      <c r="D61" s="4">
        <f t="shared" si="0"/>
        <v>204.62802412175193</v>
      </c>
      <c r="E61" s="4">
        <f t="shared" si="3"/>
        <v>190.3847629871222</v>
      </c>
    </row>
    <row r="62" spans="1:5" x14ac:dyDescent="0.4">
      <c r="A62">
        <v>41.25</v>
      </c>
      <c r="B62" s="4">
        <f t="shared" si="1"/>
        <v>3.0673257702165828</v>
      </c>
      <c r="C62" s="4">
        <f t="shared" si="2"/>
        <v>8.5729840873529994</v>
      </c>
      <c r="D62" s="4">
        <f t="shared" si="0"/>
        <v>204.66178537731545</v>
      </c>
      <c r="E62" s="4">
        <f t="shared" si="3"/>
        <v>190.48510222368773</v>
      </c>
    </row>
    <row r="63" spans="1:5" x14ac:dyDescent="0.4">
      <c r="A63">
        <v>41.5</v>
      </c>
      <c r="B63" s="4">
        <f t="shared" si="1"/>
        <v>3.0643508159526958</v>
      </c>
      <c r="C63" s="4">
        <f t="shared" si="2"/>
        <v>8.5331617285516188</v>
      </c>
      <c r="D63" s="4">
        <f t="shared" si="0"/>
        <v>204.694632082601</v>
      </c>
      <c r="E63" s="4">
        <f t="shared" si="3"/>
        <v>190.58380102404365</v>
      </c>
    </row>
    <row r="64" spans="1:5" x14ac:dyDescent="0.4">
      <c r="A64">
        <v>41.75</v>
      </c>
      <c r="B64" s="4">
        <f t="shared" si="1"/>
        <v>3.0613933201001204</v>
      </c>
      <c r="C64" s="4">
        <f t="shared" si="2"/>
        <v>8.4937709308475302</v>
      </c>
      <c r="D64" s="4">
        <f t="shared" si="0"/>
        <v>204.72658228681729</v>
      </c>
      <c r="E64" s="4">
        <f t="shared" si="3"/>
        <v>190.6808896739318</v>
      </c>
    </row>
    <row r="65" spans="1:5" x14ac:dyDescent="0.4">
      <c r="A65">
        <v>42</v>
      </c>
      <c r="B65" s="4">
        <f t="shared" si="1"/>
        <v>3.0584530734534181</v>
      </c>
      <c r="C65" s="4">
        <f t="shared" si="2"/>
        <v>8.4548044627280827</v>
      </c>
      <c r="D65" s="4">
        <f t="shared" si="0"/>
        <v>204.75765360041254</v>
      </c>
      <c r="E65" s="4">
        <f t="shared" si="3"/>
        <v>190.77639774216422</v>
      </c>
    </row>
    <row r="66" spans="1:5" x14ac:dyDescent="0.4">
      <c r="A66">
        <v>42.25</v>
      </c>
      <c r="B66" s="4">
        <f t="shared" si="1"/>
        <v>3.055529870548908</v>
      </c>
      <c r="C66" s="4">
        <f t="shared" si="2"/>
        <v>8.4162552560966475</v>
      </c>
      <c r="D66" s="4">
        <f t="shared" si="0"/>
        <v>204.78786320806887</v>
      </c>
      <c r="E66" s="4">
        <f t="shared" si="3"/>
        <v>190.87035410155474</v>
      </c>
    </row>
    <row r="67" spans="1:5" x14ac:dyDescent="0.4">
      <c r="A67">
        <v>42.5</v>
      </c>
      <c r="B67" s="4">
        <f t="shared" si="1"/>
        <v>3.0526235095759713</v>
      </c>
      <c r="C67" s="4">
        <f t="shared" si="2"/>
        <v>8.3781164016375502</v>
      </c>
      <c r="D67" s="4">
        <f t="shared" si="0"/>
        <v>204.81722788124119</v>
      </c>
      <c r="E67" s="4">
        <f t="shared" si="3"/>
        <v>190.96278694912232</v>
      </c>
    </row>
    <row r="68" spans="1:5" x14ac:dyDescent="0.4">
      <c r="A68">
        <v>42.75</v>
      </c>
      <c r="B68" s="4">
        <f t="shared" si="1"/>
        <v>3.0497337922909766</v>
      </c>
      <c r="C68" s="4">
        <f t="shared" si="2"/>
        <v>8.3403811443388864</v>
      </c>
      <c r="D68" s="4">
        <f t="shared" si="0"/>
        <v>204.84576399025789</v>
      </c>
      <c r="E68" s="4">
        <f t="shared" si="3"/>
        <v>191.0537238255956</v>
      </c>
    </row>
    <row r="69" spans="1:5" x14ac:dyDescent="0.4">
      <c r="A69">
        <v>43</v>
      </c>
      <c r="B69" s="4">
        <f t="shared" si="1"/>
        <v>3.0468605239337188</v>
      </c>
      <c r="C69" s="4">
        <f t="shared" si="2"/>
        <v>8.3030428791668527</v>
      </c>
      <c r="D69" s="4">
        <f t="shared" si="0"/>
        <v>204.87348751600319</v>
      </c>
      <c r="E69" s="4">
        <f t="shared" si="3"/>
        <v>191.1431916342483</v>
      </c>
    </row>
    <row r="70" spans="1:5" x14ac:dyDescent="0.4">
      <c r="A70">
        <v>43.25</v>
      </c>
      <c r="B70" s="4">
        <f t="shared" si="1"/>
        <v>3.0440035131462895</v>
      </c>
      <c r="C70" s="4">
        <f t="shared" si="2"/>
        <v>8.2660951468857906</v>
      </c>
      <c r="D70" s="4">
        <f t="shared" si="0"/>
        <v>204.90041406119505</v>
      </c>
      <c r="E70" s="4">
        <f t="shared" si="3"/>
        <v>191.23121665908928</v>
      </c>
    </row>
    <row r="71" spans="1:5" x14ac:dyDescent="0.4">
      <c r="A71">
        <v>43.5</v>
      </c>
      <c r="B71" s="4">
        <f t="shared" si="1"/>
        <v>3.0411625718942972</v>
      </c>
      <c r="C71" s="4">
        <f t="shared" si="2"/>
        <v>8.2295316300180339</v>
      </c>
      <c r="D71" s="4">
        <f t="shared" si="0"/>
        <v>204.92655886127699</v>
      </c>
      <c r="E71" s="4">
        <f t="shared" si="3"/>
        <v>191.31782458243552</v>
      </c>
    </row>
    <row r="72" spans="1:5" x14ac:dyDescent="0.4">
      <c r="A72">
        <v>43.75</v>
      </c>
      <c r="B72" s="4">
        <f t="shared" si="1"/>
        <v>3.0383375153903551</v>
      </c>
      <c r="C72" s="4">
        <f t="shared" si="2"/>
        <v>8.1933461489383461</v>
      </c>
      <c r="D72" s="4">
        <f t="shared" si="0"/>
        <v>204.95193679493875</v>
      </c>
      <c r="E72" s="4">
        <f t="shared" si="3"/>
        <v>191.40304050189096</v>
      </c>
    </row>
    <row r="73" spans="1:5" x14ac:dyDescent="0.4">
      <c r="A73">
        <v>44</v>
      </c>
      <c r="B73" s="4">
        <f t="shared" si="1"/>
        <v>3.0355281620197516</v>
      </c>
      <c r="C73" s="4">
        <f t="shared" si="2"/>
        <v>8.1575326580973897</v>
      </c>
      <c r="D73" s="4">
        <f t="shared" si="0"/>
        <v>204.97656239427928</v>
      </c>
      <c r="E73" s="4">
        <f t="shared" si="3"/>
        <v>191.48688894675462</v>
      </c>
    </row>
    <row r="74" spans="1:5" x14ac:dyDescent="0.4">
      <c r="A74">
        <v>44.25</v>
      </c>
      <c r="B74" s="4">
        <f t="shared" si="1"/>
        <v>3.0327343332682397</v>
      </c>
      <c r="C74" s="4">
        <f t="shared" si="2"/>
        <v>8.1220852423696499</v>
      </c>
      <c r="D74" s="4">
        <f t="shared" si="0"/>
        <v>205.00044985462739</v>
      </c>
      <c r="E74" s="4">
        <f t="shared" si="3"/>
        <v>191.5693938938806</v>
      </c>
    </row>
    <row r="75" spans="1:5" x14ac:dyDescent="0.4">
      <c r="A75">
        <v>44.5</v>
      </c>
      <c r="B75" s="4">
        <f t="shared" si="1"/>
        <v>3.0299558536518689</v>
      </c>
      <c r="C75" s="4">
        <f t="shared" si="2"/>
        <v>8.086998113520762</v>
      </c>
      <c r="D75" s="4">
        <f t="shared" si="0"/>
        <v>205.02361304403314</v>
      </c>
      <c r="E75" s="4">
        <f t="shared" si="3"/>
        <v>191.65057878301104</v>
      </c>
    </row>
    <row r="76" spans="1:5" x14ac:dyDescent="0.4">
      <c r="A76">
        <v>44.75</v>
      </c>
      <c r="B76" s="4">
        <f t="shared" si="1"/>
        <v>3.0271925506487909</v>
      </c>
      <c r="C76" s="4">
        <f t="shared" si="2"/>
        <v>8.05226560678976</v>
      </c>
      <c r="D76" s="4">
        <f t="shared" si="0"/>
        <v>205.04606551244169</v>
      </c>
      <c r="E76" s="4">
        <f t="shared" si="3"/>
        <v>191.73046653160205</v>
      </c>
    </row>
    <row r="77" spans="1:5" x14ac:dyDescent="0.4">
      <c r="A77">
        <v>45</v>
      </c>
      <c r="B77" s="4">
        <f t="shared" si="1"/>
        <v>3.0244442546329653</v>
      </c>
      <c r="C77" s="4">
        <f t="shared" si="2"/>
        <v>8.017882177581857</v>
      </c>
      <c r="D77" s="4">
        <f t="shared" si="0"/>
        <v>205.0678205005639</v>
      </c>
      <c r="E77" s="4">
        <f t="shared" si="3"/>
        <v>191.80907954916287</v>
      </c>
    </row>
    <row r="78" spans="1:5" x14ac:dyDescent="0.4">
      <c r="A78">
        <v>45.25</v>
      </c>
      <c r="B78" s="4">
        <f t="shared" si="1"/>
        <v>3.0217107988097172</v>
      </c>
      <c r="C78" s="4">
        <f t="shared" si="2"/>
        <v>7.983842398267746</v>
      </c>
      <c r="D78" s="4">
        <f t="shared" si="0"/>
        <v>205.08889094845293</v>
      </c>
      <c r="E78" s="4">
        <f t="shared" si="3"/>
        <v>191.88643975112566</v>
      </c>
    </row>
    <row r="79" spans="1:5" x14ac:dyDescent="0.4">
      <c r="A79">
        <v>45.5</v>
      </c>
      <c r="B79" s="4">
        <f t="shared" si="1"/>
        <v>3.018992019153075</v>
      </c>
      <c r="C79" s="4">
        <f t="shared" si="2"/>
        <v>7.9501409550852236</v>
      </c>
      <c r="D79" s="4">
        <f t="shared" ref="D79:D142" si="8">$B$6*$B$12/9.81*($B$9*SQRT(2/($B$9-1)*(2/($B$9+1))^(($B$9+1)/($B$9-1))*(1 - (A79/$B$3)^(($B$9-1)/$B$9))) + C79/$B$3*(A79 - $E$5))</f>
        <v>205.10928950380031</v>
      </c>
      <c r="E79" s="4">
        <f t="shared" ref="E79:E142" si="9">$B$6*$B$12/9.81*($B$9*SQRT(2/($B$9-1)*(2/($B$9+1))^(($B$9+1)/($B$9-1))*(1 - (A79/$B$3)^(($B$9-1)/$B$9))) + C79/$B$3*(A79 - $E$4))</f>
        <v>191.96256857226504</v>
      </c>
    </row>
    <row r="80" spans="1:5" x14ac:dyDescent="0.4">
      <c r="A80">
        <v>45.75</v>
      </c>
      <c r="B80" s="4">
        <f t="shared" ref="B80:B143" si="10">SQRT(2/($B$9-1)*((A80/$B$3)^((1-$B$9)/$B$9) - 1))</f>
        <v>3.0162877543448303</v>
      </c>
      <c r="C80" s="4">
        <f t="shared" ref="C80:C143" si="11">1/B80*(2/($B$9+1)*(1 + ($B$9-1)/2*B80^2))^(($B$9+1)/(2*$B$9-2))</f>
        <v>7.9167726451394271</v>
      </c>
      <c r="D80" s="4">
        <f t="shared" si="8"/>
        <v>205.12902852996027</v>
      </c>
      <c r="E80" s="4">
        <f t="shared" si="9"/>
        <v>192.03748697968285</v>
      </c>
    </row>
    <row r="81" spans="1:5" x14ac:dyDescent="0.4">
      <c r="A81">
        <v>46</v>
      </c>
      <c r="B81" s="4">
        <f t="shared" si="10"/>
        <v>3.0135978457152635</v>
      </c>
      <c r="C81" s="4">
        <f t="shared" si="11"/>
        <v>7.8837323734980354</v>
      </c>
      <c r="D81" s="4">
        <f t="shared" si="8"/>
        <v>205.14812011371379</v>
      </c>
      <c r="E81" s="4">
        <f t="shared" si="9"/>
        <v>192.11121548537596</v>
      </c>
    </row>
    <row r="82" spans="1:5" x14ac:dyDescent="0.4">
      <c r="A82">
        <v>46.25</v>
      </c>
      <c r="B82" s="4">
        <f t="shared" si="10"/>
        <v>3.0109221371854846</v>
      </c>
      <c r="C82" s="4">
        <f t="shared" si="11"/>
        <v>7.8510151503778101</v>
      </c>
      <c r="D82" s="4">
        <f t="shared" si="8"/>
        <v>205.16657607278191</v>
      </c>
      <c r="E82" s="4">
        <f t="shared" si="9"/>
        <v>192.18377415840175</v>
      </c>
    </row>
    <row r="83" spans="1:5" x14ac:dyDescent="0.4">
      <c r="A83">
        <v>46.5</v>
      </c>
      <c r="B83" s="4">
        <f t="shared" si="10"/>
        <v>3.0082604752113364</v>
      </c>
      <c r="C83" s="4">
        <f t="shared" si="11"/>
        <v>7.8186160884194029</v>
      </c>
      <c r="D83" s="4">
        <f t="shared" si="8"/>
        <v>205.18440796309707</v>
      </c>
      <c r="E83" s="4">
        <f t="shared" si="9"/>
        <v>192.25518263665631</v>
      </c>
    </row>
    <row r="84" spans="1:5" x14ac:dyDescent="0.4">
      <c r="A84">
        <v>46.75</v>
      </c>
      <c r="B84" s="4">
        <f t="shared" si="10"/>
        <v>3.0056127087288007</v>
      </c>
      <c r="C84" s="4">
        <f t="shared" si="11"/>
        <v>7.786530400046825</v>
      </c>
      <c r="D84" s="4">
        <f t="shared" si="8"/>
        <v>205.20162708584226</v>
      </c>
      <c r="E84" s="4">
        <f t="shared" si="9"/>
        <v>192.32546013827977</v>
      </c>
    </row>
    <row r="85" spans="1:5" x14ac:dyDescent="0.4">
      <c r="A85">
        <v>47</v>
      </c>
      <c r="B85" s="4">
        <f t="shared" si="10"/>
        <v>3.0029786891008698</v>
      </c>
      <c r="C85" s="4">
        <f t="shared" si="11"/>
        <v>7.7547533949087741</v>
      </c>
      <c r="D85" s="4">
        <f t="shared" si="8"/>
        <v>205.21824449426626</v>
      </c>
      <c r="E85" s="4">
        <f t="shared" si="9"/>
        <v>192.39462547270284</v>
      </c>
    </row>
    <row r="86" spans="1:5" x14ac:dyDescent="0.4">
      <c r="A86">
        <v>47.25</v>
      </c>
      <c r="B86" s="4">
        <f t="shared" si="10"/>
        <v>3.0003582700658362</v>
      </c>
      <c r="C86" s="4">
        <f t="shared" si="11"/>
        <v>7.723280477398883</v>
      </c>
      <c r="D86" s="4">
        <f t="shared" si="8"/>
        <v>205.2342710002828</v>
      </c>
      <c r="E86" s="4">
        <f t="shared" si="9"/>
        <v>192.46269705134654</v>
      </c>
    </row>
    <row r="87" spans="1:5" x14ac:dyDescent="0.4">
      <c r="A87">
        <v>47.5</v>
      </c>
      <c r="B87" s="4">
        <f t="shared" si="10"/>
        <v>2.9977513076869458</v>
      </c>
      <c r="C87" s="4">
        <f t="shared" si="11"/>
        <v>7.6921071442518274</v>
      </c>
      <c r="D87" s="4">
        <f t="shared" si="8"/>
        <v>205.24971718086243</v>
      </c>
      <c r="E87" s="4">
        <f t="shared" si="9"/>
        <v>192.52969289798941</v>
      </c>
    </row>
    <row r="88" spans="1:5" x14ac:dyDescent="0.4">
      <c r="A88">
        <v>47.75</v>
      </c>
      <c r="B88" s="4">
        <f t="shared" si="10"/>
        <v>2.9951576603033803</v>
      </c>
      <c r="C88" s="4">
        <f t="shared" si="11"/>
        <v>7.6612289822127639</v>
      </c>
      <c r="D88" s="4">
        <f t="shared" si="8"/>
        <v>205.26459338422393</v>
      </c>
      <c r="E88" s="4">
        <f t="shared" si="9"/>
        <v>192.59563065881252</v>
      </c>
    </row>
    <row r="89" spans="1:5" x14ac:dyDescent="0.4">
      <c r="A89">
        <v>48</v>
      </c>
      <c r="B89" s="4">
        <f t="shared" si="10"/>
        <v>2.9925771884825241</v>
      </c>
      <c r="C89" s="4">
        <f t="shared" si="11"/>
        <v>7.6306416657775253</v>
      </c>
      <c r="D89" s="4">
        <f t="shared" si="8"/>
        <v>205.27890973583237</v>
      </c>
      <c r="E89" s="4">
        <f t="shared" si="9"/>
        <v>192.6605276121349</v>
      </c>
    </row>
    <row r="90" spans="1:5" x14ac:dyDescent="0.4">
      <c r="A90">
        <v>48.25</v>
      </c>
      <c r="B90" s="4">
        <f t="shared" si="10"/>
        <v>2.9900097549734785</v>
      </c>
      <c r="C90" s="4">
        <f t="shared" si="11"/>
        <v>7.6003409550008758</v>
      </c>
      <c r="D90" s="4">
        <f t="shared" si="8"/>
        <v>205.29267614421178</v>
      </c>
      <c r="E90" s="4">
        <f t="shared" si="9"/>
        <v>192.7244006778501</v>
      </c>
    </row>
    <row r="91" spans="1:5" x14ac:dyDescent="0.4">
      <c r="A91">
        <v>48.5</v>
      </c>
      <c r="B91" s="4">
        <f t="shared" si="10"/>
        <v>2.9874552246617756</v>
      </c>
      <c r="C91" s="4">
        <f t="shared" si="11"/>
        <v>7.5703226933706151</v>
      </c>
      <c r="D91" s="4">
        <f t="shared" si="8"/>
        <v>205.30590230657828</v>
      </c>
      <c r="E91" s="4">
        <f t="shared" si="9"/>
        <v>192.78726642657517</v>
      </c>
    </row>
    <row r="92" spans="1:5" x14ac:dyDescent="0.4">
      <c r="A92">
        <v>48.75</v>
      </c>
      <c r="B92" s="4">
        <f t="shared" si="10"/>
        <v>2.9849134645252646</v>
      </c>
      <c r="C92" s="4">
        <f t="shared" si="11"/>
        <v>7.5405828057451272</v>
      </c>
      <c r="D92" s="4">
        <f t="shared" si="8"/>
        <v>205.31859771429964</v>
      </c>
      <c r="E92" s="4">
        <f t="shared" si="9"/>
        <v>192.84914108852064</v>
      </c>
    </row>
    <row r="93" spans="1:5" x14ac:dyDescent="0.4">
      <c r="A93">
        <v>49</v>
      </c>
      <c r="B93" s="4">
        <f t="shared" si="10"/>
        <v>2.9823843435911344</v>
      </c>
      <c r="C93" s="4">
        <f t="shared" si="11"/>
        <v>7.5111172963522614</v>
      </c>
      <c r="D93" s="4">
        <f t="shared" si="8"/>
        <v>205.33077165818887</v>
      </c>
      <c r="E93" s="4">
        <f t="shared" si="9"/>
        <v>192.91004056209317</v>
      </c>
    </row>
    <row r="94" spans="1:5" x14ac:dyDescent="0.4">
      <c r="A94">
        <v>49.25</v>
      </c>
      <c r="B94" s="4">
        <f t="shared" si="10"/>
        <v>2.9798677328940233</v>
      </c>
      <c r="C94" s="4">
        <f t="shared" si="11"/>
        <v>7.4819222468472724</v>
      </c>
      <c r="D94" s="4">
        <f t="shared" si="8"/>
        <v>205.34243323363651</v>
      </c>
      <c r="E94" s="4">
        <f t="shared" si="9"/>
        <v>192.96998042223953</v>
      </c>
    </row>
    <row r="95" spans="1:5" x14ac:dyDescent="0.4">
      <c r="A95">
        <v>49.5</v>
      </c>
      <c r="B95" s="4">
        <f t="shared" si="10"/>
        <v>2.9773635054352061</v>
      </c>
      <c r="C95" s="4">
        <f t="shared" si="11"/>
        <v>7.4529938144279306</v>
      </c>
      <c r="D95" s="4">
        <f t="shared" si="8"/>
        <v>205.35359134558746</v>
      </c>
      <c r="E95" s="4">
        <f t="shared" si="9"/>
        <v>193.02897592854012</v>
      </c>
    </row>
    <row r="96" spans="1:5" x14ac:dyDescent="0.4">
      <c r="A96">
        <v>49.75</v>
      </c>
      <c r="B96" s="4">
        <f t="shared" si="10"/>
        <v>2.974871536142802</v>
      </c>
      <c r="C96" s="4">
        <f t="shared" si="11"/>
        <v>7.4243282300047548</v>
      </c>
      <c r="D96" s="4">
        <f t="shared" si="8"/>
        <v>205.3642547133683</v>
      </c>
      <c r="E96" s="4">
        <f t="shared" si="9"/>
        <v>193.08704203306237</v>
      </c>
    </row>
    <row r="97" spans="1:5" x14ac:dyDescent="0.4">
      <c r="A97">
        <v>50</v>
      </c>
      <c r="B97" s="4">
        <f t="shared" si="10"/>
        <v>2.97239170183299</v>
      </c>
      <c r="C97" s="4">
        <f t="shared" si="11"/>
        <v>7.3959217964245152</v>
      </c>
      <c r="D97" s="4">
        <f t="shared" si="8"/>
        <v>205.37443187536979</v>
      </c>
      <c r="E97" s="4">
        <f t="shared" si="9"/>
        <v>193.14419338798064</v>
      </c>
    </row>
    <row r="98" spans="1:5" x14ac:dyDescent="0.4">
      <c r="A98">
        <v>50.25</v>
      </c>
      <c r="B98" s="4">
        <f t="shared" si="10"/>
        <v>2.9699238811721922</v>
      </c>
      <c r="C98" s="4">
        <f t="shared" si="11"/>
        <v>7.3677708867451965</v>
      </c>
      <c r="D98" s="4">
        <f t="shared" si="8"/>
        <v>205.3841311935897</v>
      </c>
      <c r="E98" s="4">
        <f t="shared" si="9"/>
        <v>193.2004443529718</v>
      </c>
    </row>
    <row r="99" spans="1:5" x14ac:dyDescent="0.4">
      <c r="A99">
        <v>50.5</v>
      </c>
      <c r="B99" s="4">
        <f t="shared" si="10"/>
        <v>2.9674679546402034</v>
      </c>
      <c r="C99" s="4">
        <f t="shared" si="11"/>
        <v>7.3398719425606869</v>
      </c>
      <c r="D99" s="4">
        <f t="shared" si="8"/>
        <v>205.39336085804126</v>
      </c>
      <c r="E99" s="4">
        <f t="shared" si="9"/>
        <v>193.2558090023941</v>
      </c>
    </row>
    <row r="100" spans="1:5" x14ac:dyDescent="0.4">
      <c r="A100">
        <v>50.75</v>
      </c>
      <c r="B100" s="4">
        <f t="shared" si="10"/>
        <v>2.9650238044942263</v>
      </c>
      <c r="C100" s="4">
        <f t="shared" si="11"/>
        <v>7.3122214723735146</v>
      </c>
      <c r="D100" s="4">
        <f t="shared" si="8"/>
        <v>205.40212889103066</v>
      </c>
      <c r="E100" s="4">
        <f t="shared" si="9"/>
        <v>193.31030113225552</v>
      </c>
    </row>
    <row r="101" spans="1:5" x14ac:dyDescent="0.4">
      <c r="A101">
        <v>51</v>
      </c>
      <c r="B101" s="4">
        <f t="shared" si="10"/>
        <v>2.962591314733801</v>
      </c>
      <c r="C101" s="4">
        <f t="shared" si="11"/>
        <v>7.2848160500140153</v>
      </c>
      <c r="D101" s="4">
        <f t="shared" si="8"/>
        <v>205.41044315130949</v>
      </c>
      <c r="E101" s="4">
        <f t="shared" si="9"/>
        <v>193.36393426698032</v>
      </c>
    </row>
    <row r="102" spans="1:5" x14ac:dyDescent="0.4">
      <c r="A102">
        <v>51.25</v>
      </c>
      <c r="B102" s="4">
        <f t="shared" si="10"/>
        <v>2.9601703710665936</v>
      </c>
      <c r="C102" s="4">
        <f t="shared" si="11"/>
        <v>7.2576523131044119</v>
      </c>
      <c r="D102" s="4">
        <f t="shared" si="8"/>
        <v>205.41831133810547</v>
      </c>
      <c r="E102" s="4">
        <f t="shared" si="9"/>
        <v>193.41672166597968</v>
      </c>
    </row>
    <row r="103" spans="1:5" x14ac:dyDescent="0.4">
      <c r="A103">
        <v>51.5</v>
      </c>
      <c r="B103" s="4">
        <f t="shared" si="10"/>
        <v>2.9577608608750161</v>
      </c>
      <c r="C103" s="4">
        <f t="shared" si="11"/>
        <v>7.230726961566293</v>
      </c>
      <c r="D103" s="4">
        <f t="shared" si="8"/>
        <v>205.42574099503574</v>
      </c>
      <c r="E103" s="4">
        <f t="shared" si="9"/>
        <v>193.46867633003308</v>
      </c>
    </row>
    <row r="104" spans="1:5" x14ac:dyDescent="0.4">
      <c r="A104">
        <v>51.75</v>
      </c>
      <c r="B104" s="4">
        <f t="shared" si="10"/>
        <v>2.955362673183664</v>
      </c>
      <c r="C104" s="4">
        <f t="shared" si="11"/>
        <v>7.2040367561700416</v>
      </c>
      <c r="D104" s="4">
        <f t="shared" si="8"/>
        <v>205.43273951390674</v>
      </c>
      <c r="E104" s="4">
        <f t="shared" si="9"/>
        <v>193.51981100748694</v>
      </c>
    </row>
    <row r="105" spans="1:5" x14ac:dyDescent="0.4">
      <c r="A105">
        <v>52</v>
      </c>
      <c r="B105" s="4">
        <f t="shared" si="10"/>
        <v>2.9529756986275344</v>
      </c>
      <c r="C105" s="4">
        <f t="shared" si="11"/>
        <v>7.177578517124938</v>
      </c>
      <c r="D105" s="4">
        <f t="shared" si="8"/>
        <v>205.4393141384048</v>
      </c>
      <c r="E105" s="4">
        <f t="shared" si="9"/>
        <v>193.57013820027672</v>
      </c>
    </row>
    <row r="106" spans="1:5" x14ac:dyDescent="0.4">
      <c r="A106">
        <v>52.25</v>
      </c>
      <c r="B106" s="4">
        <f t="shared" si="10"/>
        <v>2.9505998294210176</v>
      </c>
      <c r="C106" s="4">
        <f t="shared" si="11"/>
        <v>7.1513491227084858</v>
      </c>
      <c r="D106" s="4">
        <f t="shared" si="8"/>
        <v>205.44547196768039</v>
      </c>
      <c r="E106" s="4">
        <f t="shared" si="9"/>
        <v>193.61967016977752</v>
      </c>
    </row>
    <row r="107" spans="1:5" x14ac:dyDescent="0.4">
      <c r="A107">
        <v>52.5</v>
      </c>
      <c r="B107" s="4">
        <f t="shared" si="10"/>
        <v>2.9482349593276194</v>
      </c>
      <c r="C107" s="4">
        <f t="shared" si="11"/>
        <v>7.1253455079336678</v>
      </c>
      <c r="D107" s="4">
        <f t="shared" si="8"/>
        <v>205.45121995982973</v>
      </c>
      <c r="E107" s="4">
        <f t="shared" si="9"/>
        <v>193.66841894248998</v>
      </c>
    </row>
    <row r="108" spans="1:5" x14ac:dyDescent="0.4">
      <c r="A108">
        <v>52.75</v>
      </c>
      <c r="B108" s="4">
        <f t="shared" si="10"/>
        <v>2.9458809836304209</v>
      </c>
      <c r="C108" s="4">
        <f t="shared" si="11"/>
        <v>7.0995646632531875</v>
      </c>
      <c r="D108" s="4">
        <f t="shared" si="8"/>
        <v>205.45656493527832</v>
      </c>
      <c r="E108" s="4">
        <f t="shared" si="9"/>
        <v>193.71639631556633</v>
      </c>
    </row>
    <row r="109" spans="1:5" x14ac:dyDescent="0.4">
      <c r="A109">
        <v>53</v>
      </c>
      <c r="B109" s="4">
        <f t="shared" si="10"/>
        <v>2.9435377991032219</v>
      </c>
      <c r="C109" s="4">
        <f t="shared" si="11"/>
        <v>7.0740036332990117</v>
      </c>
      <c r="D109" s="4">
        <f t="shared" si="8"/>
        <v>205.46151358006745</v>
      </c>
      <c r="E109" s="4">
        <f t="shared" si="9"/>
        <v>193.76361386218105</v>
      </c>
    </row>
    <row r="110" spans="1:5" x14ac:dyDescent="0.4">
      <c r="A110">
        <v>53.25</v>
      </c>
      <c r="B110" s="4">
        <f t="shared" si="10"/>
        <v>2.9412053039823816</v>
      </c>
      <c r="C110" s="4">
        <f t="shared" si="11"/>
        <v>7.0486595156566345</v>
      </c>
      <c r="D110" s="4">
        <f t="shared" si="8"/>
        <v>205.46607244904885</v>
      </c>
      <c r="E110" s="4">
        <f t="shared" si="9"/>
        <v>193.81008293675282</v>
      </c>
    </row>
    <row r="111" spans="1:5" x14ac:dyDescent="0.4">
      <c r="A111">
        <v>53.5</v>
      </c>
      <c r="B111" s="4">
        <f t="shared" si="10"/>
        <v>2.9388833979393105</v>
      </c>
      <c r="C111" s="4">
        <f t="shared" si="11"/>
        <v>7.0235294596724307</v>
      </c>
      <c r="D111" s="4">
        <f t="shared" si="8"/>
        <v>205.47024796898933</v>
      </c>
      <c r="E111" s="4">
        <f t="shared" si="9"/>
        <v>193.8558146800213</v>
      </c>
    </row>
    <row r="112" spans="1:5" x14ac:dyDescent="0.4">
      <c r="A112">
        <v>53.75</v>
      </c>
      <c r="B112" s="4">
        <f t="shared" si="10"/>
        <v>2.9365719820536071</v>
      </c>
      <c r="C112" s="4">
        <f t="shared" si="11"/>
        <v>6.9986106652935058</v>
      </c>
      <c r="D112" s="4">
        <f t="shared" si="8"/>
        <v>205.47404644158894</v>
      </c>
      <c r="E112" s="4">
        <f t="shared" si="9"/>
        <v>193.90082002398339</v>
      </c>
    </row>
    <row r="113" spans="1:5" x14ac:dyDescent="0.4">
      <c r="A113">
        <v>54</v>
      </c>
      <c r="B113" s="4">
        <f t="shared" si="10"/>
        <v>2.9342709587868279</v>
      </c>
      <c r="C113" s="4">
        <f t="shared" si="11"/>
        <v>6.9739003819387442</v>
      </c>
      <c r="D113" s="4">
        <f t="shared" si="8"/>
        <v>205.47747404641487</v>
      </c>
      <c r="E113" s="4">
        <f t="shared" si="9"/>
        <v>193.94510969669457</v>
      </c>
    </row>
    <row r="114" spans="1:5" x14ac:dyDescent="0.4">
      <c r="A114">
        <v>54.25</v>
      </c>
      <c r="B114" s="4">
        <f t="shared" si="10"/>
        <v>2.931980231956854</v>
      </c>
      <c r="C114" s="4">
        <f t="shared" si="11"/>
        <v>6.9493959074000937</v>
      </c>
      <c r="D114" s="4">
        <f t="shared" si="8"/>
        <v>205.48053684375429</v>
      </c>
      <c r="E114" s="4">
        <f t="shared" si="9"/>
        <v>193.98869422693829</v>
      </c>
    </row>
    <row r="115" spans="1:5" x14ac:dyDescent="0.4">
      <c r="A115">
        <v>54.5</v>
      </c>
      <c r="B115" s="4">
        <f t="shared" si="10"/>
        <v>2.9296997067128583</v>
      </c>
      <c r="C115" s="4">
        <f t="shared" si="11"/>
        <v>6.9250945867732634</v>
      </c>
      <c r="D115" s="4">
        <f t="shared" si="8"/>
        <v>205.4832407773886</v>
      </c>
      <c r="E115" s="4">
        <f t="shared" si="9"/>
        <v>194.03158394876857</v>
      </c>
    </row>
    <row r="116" spans="1:5" x14ac:dyDescent="0.4">
      <c r="A116">
        <v>54.75</v>
      </c>
      <c r="B116" s="4">
        <f t="shared" si="10"/>
        <v>2.9274292895108442</v>
      </c>
      <c r="C116" s="4">
        <f t="shared" si="11"/>
        <v>6.9009938114167939</v>
      </c>
      <c r="D116" s="4">
        <f t="shared" si="8"/>
        <v>205.48559167729144</v>
      </c>
      <c r="E116" s="4">
        <f t="shared" si="9"/>
        <v>194.07378900592911</v>
      </c>
    </row>
    <row r="117" spans="1:5" x14ac:dyDescent="0.4">
      <c r="A117">
        <v>55</v>
      </c>
      <c r="B117" s="4">
        <f t="shared" si="10"/>
        <v>2.925168888089738</v>
      </c>
      <c r="C117" s="4">
        <f t="shared" si="11"/>
        <v>6.8770910179386675</v>
      </c>
      <c r="D117" s="4">
        <f t="shared" si="8"/>
        <v>205.48759526225288</v>
      </c>
      <c r="E117" s="4">
        <f t="shared" si="9"/>
        <v>194.11531935615375</v>
      </c>
    </row>
    <row r="118" spans="1:5" x14ac:dyDescent="0.4">
      <c r="A118">
        <v>55.25</v>
      </c>
      <c r="B118" s="4">
        <f t="shared" si="10"/>
        <v>2.9229184114480398</v>
      </c>
      <c r="C118" s="4">
        <f t="shared" si="11"/>
        <v>6.8533836872097238</v>
      </c>
      <c r="D118" s="4">
        <f t="shared" si="8"/>
        <v>205.48925714243254</v>
      </c>
      <c r="E118" s="4">
        <f t="shared" si="9"/>
        <v>194.15618477535062</v>
      </c>
    </row>
    <row r="119" spans="1:5" x14ac:dyDescent="0.4">
      <c r="A119">
        <v>55.5</v>
      </c>
      <c r="B119" s="4">
        <f t="shared" si="10"/>
        <v>2.9206777698209851</v>
      </c>
      <c r="C119" s="4">
        <f t="shared" si="11"/>
        <v>6.8298693434027546</v>
      </c>
      <c r="D119" s="4">
        <f t="shared" si="8"/>
        <v>205.49058282184302</v>
      </c>
      <c r="E119" s="4">
        <f t="shared" si="9"/>
        <v>194.19639486167475</v>
      </c>
    </row>
    <row r="120" spans="1:5" x14ac:dyDescent="0.4">
      <c r="A120">
        <v>55.75</v>
      </c>
      <c r="B120" s="4">
        <f t="shared" si="10"/>
        <v>2.9184468746582364</v>
      </c>
      <c r="C120" s="4">
        <f t="shared" si="11"/>
        <v>6.806545553056834</v>
      </c>
      <c r="D120" s="4">
        <f t="shared" si="8"/>
        <v>205.49157770076692</v>
      </c>
      <c r="E120" s="4">
        <f t="shared" si="9"/>
        <v>194.23595903949234</v>
      </c>
    </row>
    <row r="121" spans="1:5" x14ac:dyDescent="0.4">
      <c r="A121">
        <v>56</v>
      </c>
      <c r="B121" s="4">
        <f t="shared" si="10"/>
        <v>2.9162256386020662</v>
      </c>
      <c r="C121" s="4">
        <f t="shared" si="11"/>
        <v>6.7834099241659223</v>
      </c>
      <c r="D121" s="4">
        <f t="shared" si="8"/>
        <v>205.49224707810859</v>
      </c>
      <c r="E121" s="4">
        <f t="shared" si="9"/>
        <v>194.27488656323959</v>
      </c>
    </row>
    <row r="122" spans="1:5" x14ac:dyDescent="0.4">
      <c r="A122">
        <v>56.25</v>
      </c>
      <c r="B122" s="4">
        <f t="shared" si="10"/>
        <v>2.9140139754660321</v>
      </c>
      <c r="C122" s="4">
        <f t="shared" si="11"/>
        <v>6.7604601052909592</v>
      </c>
      <c r="D122" s="4">
        <f t="shared" si="8"/>
        <v>205.492596153683</v>
      </c>
      <c r="E122" s="4">
        <f t="shared" si="9"/>
        <v>194.31318652117983</v>
      </c>
    </row>
    <row r="123" spans="1:5" x14ac:dyDescent="0.4">
      <c r="A123">
        <v>56.5</v>
      </c>
      <c r="B123" s="4">
        <f t="shared" si="10"/>
        <v>2.9118118002141276</v>
      </c>
      <c r="C123" s="4">
        <f t="shared" si="11"/>
        <v>6.7376937846950424</v>
      </c>
      <c r="D123" s="4">
        <f t="shared" si="8"/>
        <v>205.49263003044388</v>
      </c>
      <c r="E123" s="4">
        <f t="shared" si="9"/>
        <v>194.35086783906198</v>
      </c>
    </row>
    <row r="124" spans="1:5" x14ac:dyDescent="0.4">
      <c r="A124">
        <v>56.75</v>
      </c>
      <c r="B124" s="4">
        <f t="shared" si="10"/>
        <v>2.9096190289403885</v>
      </c>
      <c r="C124" s="4">
        <f t="shared" si="11"/>
        <v>6.7151086895005099</v>
      </c>
      <c r="D124" s="4">
        <f t="shared" si="8"/>
        <v>205.49235371665259</v>
      </c>
      <c r="E124" s="4">
        <f t="shared" si="9"/>
        <v>194.38793928368304</v>
      </c>
    </row>
    <row r="125" spans="1:5" x14ac:dyDescent="0.4">
      <c r="A125">
        <v>57</v>
      </c>
      <c r="B125" s="4">
        <f t="shared" si="10"/>
        <v>2.9074355788489559</v>
      </c>
      <c r="C125" s="4">
        <f t="shared" si="11"/>
        <v>6.6927025848677744</v>
      </c>
      <c r="D125" s="4">
        <f t="shared" si="8"/>
        <v>205.49177212798963</v>
      </c>
      <c r="E125" s="4">
        <f t="shared" si="9"/>
        <v>194.4244094663577</v>
      </c>
    </row>
    <row r="126" spans="1:5" x14ac:dyDescent="0.4">
      <c r="A126">
        <v>57.25</v>
      </c>
      <c r="B126" s="4">
        <f t="shared" si="10"/>
        <v>2.9052613682345729</v>
      </c>
      <c r="C126" s="4">
        <f t="shared" si="11"/>
        <v>6.6704732731948999</v>
      </c>
      <c r="D126" s="4">
        <f t="shared" si="8"/>
        <v>205.49089008961118</v>
      </c>
      <c r="E126" s="4">
        <f t="shared" si="9"/>
        <v>194.46028684629826</v>
      </c>
    </row>
    <row r="127" spans="1:5" x14ac:dyDescent="0.4">
      <c r="A127">
        <v>57.5</v>
      </c>
      <c r="B127" s="4">
        <f t="shared" si="10"/>
        <v>2.9030963164635097</v>
      </c>
      <c r="C127" s="4">
        <f t="shared" si="11"/>
        <v>6.648418593337432</v>
      </c>
      <c r="D127" s="4">
        <f t="shared" si="8"/>
        <v>205.48971233815081</v>
      </c>
      <c r="E127" s="4">
        <f t="shared" si="9"/>
        <v>194.49557973390688</v>
      </c>
    </row>
    <row r="128" spans="1:5" x14ac:dyDescent="0.4">
      <c r="A128">
        <v>57.75</v>
      </c>
      <c r="B128" s="4">
        <f t="shared" si="10"/>
        <v>2.9009403439549022</v>
      </c>
      <c r="C128" s="4">
        <f t="shared" si="11"/>
        <v>6.6265364198480308</v>
      </c>
      <c r="D128" s="4">
        <f t="shared" si="8"/>
        <v>205.48824352367018</v>
      </c>
      <c r="E128" s="4">
        <f t="shared" si="9"/>
        <v>194.53029629398324</v>
      </c>
    </row>
    <row r="129" spans="1:5" x14ac:dyDescent="0.4">
      <c r="A129">
        <v>58</v>
      </c>
      <c r="B129" s="4">
        <f t="shared" si="10"/>
        <v>2.8987933721624954</v>
      </c>
      <c r="C129" s="4">
        <f t="shared" si="11"/>
        <v>6.604824662234928</v>
      </c>
      <c r="D129" s="4">
        <f t="shared" si="8"/>
        <v>205.48648821155808</v>
      </c>
      <c r="E129" s="4">
        <f t="shared" si="9"/>
        <v>194.56444454885005</v>
      </c>
    </row>
    <row r="130" spans="1:5" x14ac:dyDescent="0.4">
      <c r="A130">
        <v>58.25</v>
      </c>
      <c r="B130" s="4">
        <f t="shared" si="10"/>
        <v>2.896655323556784</v>
      </c>
      <c r="C130" s="4">
        <f t="shared" si="11"/>
        <v>6.5832812642391962</v>
      </c>
      <c r="D130" s="4">
        <f t="shared" si="8"/>
        <v>205.48445088438109</v>
      </c>
      <c r="E130" s="4">
        <f t="shared" si="9"/>
        <v>194.59803238139875</v>
      </c>
    </row>
    <row r="131" spans="1:5" x14ac:dyDescent="0.4">
      <c r="A131">
        <v>58.5</v>
      </c>
      <c r="B131" s="4">
        <f t="shared" si="10"/>
        <v>2.8945261216075284</v>
      </c>
      <c r="C131" s="4">
        <f t="shared" si="11"/>
        <v>6.5619042031297541</v>
      </c>
      <c r="D131" s="4">
        <f t="shared" si="8"/>
        <v>205.48213594368585</v>
      </c>
      <c r="E131" s="4">
        <f t="shared" si="9"/>
        <v>194.63106753805772</v>
      </c>
    </row>
    <row r="132" spans="1:5" x14ac:dyDescent="0.4">
      <c r="A132">
        <v>58.75</v>
      </c>
      <c r="B132" s="4">
        <f t="shared" si="10"/>
        <v>2.8924056907666582</v>
      </c>
      <c r="C132" s="4">
        <f t="shared" si="11"/>
        <v>6.5406914890160204</v>
      </c>
      <c r="D132" s="4">
        <f t="shared" si="8"/>
        <v>205.47954771175597</v>
      </c>
      <c r="E132" s="4">
        <f t="shared" si="9"/>
        <v>194.66355763168576</v>
      </c>
    </row>
    <row r="133" spans="1:5" x14ac:dyDescent="0.4">
      <c r="A133">
        <v>59</v>
      </c>
      <c r="B133" s="4">
        <f t="shared" si="10"/>
        <v>2.8902939564515253</v>
      </c>
      <c r="C133" s="4">
        <f t="shared" si="11"/>
        <v>6.5196411641773393</v>
      </c>
      <c r="D133" s="4">
        <f t="shared" si="8"/>
        <v>205.4766904333234</v>
      </c>
      <c r="E133" s="4">
        <f t="shared" si="9"/>
        <v>194.69551014439222</v>
      </c>
    </row>
    <row r="134" spans="1:5" x14ac:dyDescent="0.4">
      <c r="A134">
        <v>59.25</v>
      </c>
      <c r="B134" s="4">
        <f t="shared" si="10"/>
        <v>2.8881908450285216</v>
      </c>
      <c r="C134" s="4">
        <f t="shared" si="11"/>
        <v>6.4987513024090457</v>
      </c>
      <c r="D134" s="4">
        <f t="shared" si="8"/>
        <v>205.47356827723647</v>
      </c>
      <c r="E134" s="4">
        <f t="shared" si="9"/>
        <v>194.72693243028655</v>
      </c>
    </row>
    <row r="135" spans="1:5" x14ac:dyDescent="0.4">
      <c r="A135">
        <v>59.5</v>
      </c>
      <c r="B135" s="4">
        <f t="shared" si="10"/>
        <v>2.886096283797039</v>
      </c>
      <c r="C135" s="4">
        <f t="shared" si="11"/>
        <v>6.4780200083843926</v>
      </c>
      <c r="D135" s="4">
        <f t="shared" si="8"/>
        <v>205.47018533808571</v>
      </c>
      <c r="E135" s="4">
        <f t="shared" si="9"/>
        <v>194.75783171815942</v>
      </c>
    </row>
    <row r="136" spans="1:5" x14ac:dyDescent="0.4">
      <c r="A136">
        <v>59.75</v>
      </c>
      <c r="B136" s="4">
        <f t="shared" si="10"/>
        <v>2.8840102009737714</v>
      </c>
      <c r="C136" s="4">
        <f t="shared" si="11"/>
        <v>6.457445417032134</v>
      </c>
      <c r="D136" s="4">
        <f t="shared" si="8"/>
        <v>205.46654563778873</v>
      </c>
      <c r="E136" s="4">
        <f t="shared" si="9"/>
        <v>194.78821511409643</v>
      </c>
    </row>
    <row r="137" spans="1:5" x14ac:dyDescent="0.4">
      <c r="A137">
        <v>60</v>
      </c>
      <c r="B137" s="4">
        <f t="shared" si="10"/>
        <v>2.8819325256773376</v>
      </c>
      <c r="C137" s="4">
        <f t="shared" si="11"/>
        <v>6.4370256929290708</v>
      </c>
      <c r="D137" s="4">
        <f t="shared" si="8"/>
        <v>205.46265312713493</v>
      </c>
      <c r="E137" s="4">
        <f t="shared" si="9"/>
        <v>194.8180896040277</v>
      </c>
    </row>
    <row r="138" spans="1:5" x14ac:dyDescent="0.4">
      <c r="A138">
        <v>60.25</v>
      </c>
      <c r="B138" s="4">
        <f t="shared" si="10"/>
        <v>2.8798631879132301</v>
      </c>
      <c r="C138" s="4">
        <f t="shared" si="11"/>
        <v>6.4167590297073618</v>
      </c>
      <c r="D138" s="4">
        <f t="shared" si="8"/>
        <v>205.45851168729192</v>
      </c>
      <c r="E138" s="4">
        <f t="shared" si="9"/>
        <v>194.84746205621437</v>
      </c>
    </row>
    <row r="139" spans="1:5" x14ac:dyDescent="0.4">
      <c r="A139">
        <v>60.5</v>
      </c>
      <c r="B139" s="4">
        <f t="shared" si="10"/>
        <v>2.8778021185590803</v>
      </c>
      <c r="C139" s="4">
        <f t="shared" si="11"/>
        <v>6.3966436494761147</v>
      </c>
      <c r="D139" s="4">
        <f t="shared" si="8"/>
        <v>205.45412513127425</v>
      </c>
      <c r="E139" s="4">
        <f t="shared" si="9"/>
        <v>194.87633922367354</v>
      </c>
    </row>
    <row r="140" spans="1:5" x14ac:dyDescent="0.4">
      <c r="A140">
        <v>60.75</v>
      </c>
      <c r="B140" s="4">
        <f t="shared" si="10"/>
        <v>2.8757492493502164</v>
      </c>
      <c r="C140" s="4">
        <f t="shared" si="11"/>
        <v>6.3766778022566362</v>
      </c>
      <c r="D140" s="4">
        <f t="shared" si="8"/>
        <v>205.44949720537531</v>
      </c>
      <c r="E140" s="4">
        <f t="shared" si="9"/>
        <v>194.90472774654438</v>
      </c>
    </row>
    <row r="141" spans="1:5" x14ac:dyDescent="0.4">
      <c r="A141">
        <v>61</v>
      </c>
      <c r="B141" s="4">
        <f t="shared" si="10"/>
        <v>2.8737045128655363</v>
      </c>
      <c r="C141" s="4">
        <f t="shared" si="11"/>
        <v>6.3568597654315102</v>
      </c>
      <c r="D141" s="4">
        <f t="shared" si="8"/>
        <v>205.44463159056457</v>
      </c>
      <c r="E141" s="4">
        <f t="shared" si="9"/>
        <v>194.93263415439625</v>
      </c>
    </row>
    <row r="142" spans="1:5" x14ac:dyDescent="0.4">
      <c r="A142">
        <v>61.25</v>
      </c>
      <c r="B142" s="4">
        <f t="shared" si="10"/>
        <v>2.8716678425136486</v>
      </c>
      <c r="C142" s="4">
        <f t="shared" si="11"/>
        <v>6.3371878432063253</v>
      </c>
      <c r="D142" s="4">
        <f t="shared" si="8"/>
        <v>205.43953190384957</v>
      </c>
      <c r="E142" s="4">
        <f t="shared" si="9"/>
        <v>194.96006486848074</v>
      </c>
    </row>
    <row r="143" spans="1:5" x14ac:dyDescent="0.4">
      <c r="A143">
        <v>61.5</v>
      </c>
      <c r="B143" s="4">
        <f t="shared" si="10"/>
        <v>2.86963917251932</v>
      </c>
      <c r="C143" s="4">
        <f t="shared" si="11"/>
        <v>6.317660366084513</v>
      </c>
      <c r="D143" s="4">
        <f t="shared" ref="D143:D206" si="12">$B$6*$B$12/9.81*($B$9*SQRT(2/($B$9-1)*(2/($B$9+1))^(($B$9+1)/($B$9-1))*(1 - (A143/$B$3)^(($B$9-1)/$B$9))) + C143/$B$3*(A143 - $E$5))</f>
        <v>205.43420169960504</v>
      </c>
      <c r="E143" s="4">
        <f t="shared" ref="E143:E206" si="13">$B$6*$B$12/9.81*($B$9*SQRT(2/($B$9-1)*(2/($B$9+1))^(($B$9+1)/($B$9-1))*(1 - (A143/$B$3)^(($B$9-1)/$B$9))) + C143/$B$3*(A143 - $E$4))</f>
        <v>194.98702620392936</v>
      </c>
    </row>
    <row r="144" spans="1:5" x14ac:dyDescent="0.4">
      <c r="A144">
        <v>61.75</v>
      </c>
      <c r="B144" s="4">
        <f t="shared" ref="B144:B207" si="14">SQRT(2/($B$9-1)*((A144/$B$3)^((1-$B$9)/$B$9) - 1))</f>
        <v>2.8676184379101812</v>
      </c>
      <c r="C144" s="4">
        <f t="shared" ref="C144:C207" si="15">1/B144*(2/($B$9+1)*(1 + ($B$9-1)/2*B144^2))^(($B$9+1)/(2*$B$9-2))</f>
        <v>6.298275690354374</v>
      </c>
      <c r="D144" s="4">
        <f t="shared" si="12"/>
        <v>205.42864447086936</v>
      </c>
      <c r="E144" s="4">
        <f t="shared" si="13"/>
        <v>195.01352437189823</v>
      </c>
    </row>
    <row r="145" spans="1:5" x14ac:dyDescent="0.4">
      <c r="A145">
        <v>62</v>
      </c>
      <c r="B145" s="4">
        <f t="shared" si="14"/>
        <v>2.8656055745037095</v>
      </c>
      <c r="C145" s="4">
        <f t="shared" si="15"/>
        <v>6.2790321975881156</v>
      </c>
      <c r="D145" s="4">
        <f t="shared" si="12"/>
        <v>205.42286365060923</v>
      </c>
      <c r="E145" s="4">
        <f t="shared" si="13"/>
        <v>195.03956548166116</v>
      </c>
    </row>
    <row r="146" spans="1:5" x14ac:dyDescent="0.4">
      <c r="A146">
        <v>62.25</v>
      </c>
      <c r="B146" s="4">
        <f t="shared" si="14"/>
        <v>2.86360051889447</v>
      </c>
      <c r="C146" s="4">
        <f t="shared" si="15"/>
        <v>6.2599282941527283</v>
      </c>
      <c r="D146" s="4">
        <f t="shared" si="12"/>
        <v>205.41686261295385</v>
      </c>
      <c r="E146" s="4">
        <f t="shared" si="13"/>
        <v>195.06515554265255</v>
      </c>
    </row>
    <row r="147" spans="1:5" x14ac:dyDescent="0.4">
      <c r="A147">
        <v>62.5</v>
      </c>
      <c r="B147" s="4">
        <f t="shared" si="14"/>
        <v>2.861603208441625</v>
      </c>
      <c r="C147" s="4">
        <f t="shared" si="15"/>
        <v>6.2409624107321777</v>
      </c>
      <c r="D147" s="4">
        <f t="shared" si="12"/>
        <v>205.41064467439955</v>
      </c>
      <c r="E147" s="4">
        <f t="shared" si="13"/>
        <v>195.09030046646242</v>
      </c>
    </row>
    <row r="148" spans="1:5" x14ac:dyDescent="0.4">
      <c r="A148">
        <v>62.75</v>
      </c>
      <c r="B148" s="4">
        <f t="shared" si="14"/>
        <v>2.8596135812566734</v>
      </c>
      <c r="C148" s="4">
        <f t="shared" si="15"/>
        <v>6.2221330018606169</v>
      </c>
      <c r="D148" s="4">
        <f t="shared" si="12"/>
        <v>205.40421309498464</v>
      </c>
      <c r="E148" s="4">
        <f t="shared" si="13"/>
        <v>195.11500606878286</v>
      </c>
    </row>
    <row r="149" spans="1:5" x14ac:dyDescent="0.4">
      <c r="A149">
        <v>63</v>
      </c>
      <c r="B149" s="4">
        <f t="shared" si="14"/>
        <v>2.8576315761914532</v>
      </c>
      <c r="C149" s="4">
        <f t="shared" si="15"/>
        <v>6.2034385454665069</v>
      </c>
      <c r="D149" s="4">
        <f t="shared" si="12"/>
        <v>205.39757107943691</v>
      </c>
      <c r="E149" s="4">
        <f t="shared" si="13"/>
        <v>195.1392780713096</v>
      </c>
    </row>
    <row r="150" spans="1:5" x14ac:dyDescent="0.4">
      <c r="A150">
        <v>63.25</v>
      </c>
      <c r="B150" s="4">
        <f t="shared" si="14"/>
        <v>2.8556571328263751</v>
      </c>
      <c r="C150" s="4">
        <f t="shared" si="15"/>
        <v>6.1848775424271167</v>
      </c>
      <c r="D150" s="4">
        <f t="shared" si="12"/>
        <v>205.39072177829325</v>
      </c>
      <c r="E150" s="4">
        <f t="shared" si="13"/>
        <v>195.16312210359825</v>
      </c>
    </row>
    <row r="151" spans="1:5" x14ac:dyDescent="0.4">
      <c r="A151">
        <v>63.5</v>
      </c>
      <c r="B151" s="4">
        <f t="shared" si="14"/>
        <v>2.8536901914588868</v>
      </c>
      <c r="C151" s="4">
        <f t="shared" si="15"/>
        <v>6.1664485161333014</v>
      </c>
      <c r="D151" s="4">
        <f t="shared" si="12"/>
        <v>205.38366828899277</v>
      </c>
      <c r="E151" s="4">
        <f t="shared" si="13"/>
        <v>195.1865437048771</v>
      </c>
    </row>
    <row r="152" spans="1:5" x14ac:dyDescent="0.4">
      <c r="A152">
        <v>63.75</v>
      </c>
      <c r="B152" s="4">
        <f t="shared" si="14"/>
        <v>2.8517306930921644</v>
      </c>
      <c r="C152" s="4">
        <f t="shared" si="15"/>
        <v>6.1481500120641126</v>
      </c>
      <c r="D152" s="4">
        <f t="shared" si="12"/>
        <v>205.37641365694361</v>
      </c>
      <c r="E152" s="4">
        <f t="shared" si="13"/>
        <v>195.20954832581745</v>
      </c>
    </row>
    <row r="153" spans="1:5" x14ac:dyDescent="0.4">
      <c r="A153">
        <v>64</v>
      </c>
      <c r="B153" s="4">
        <f t="shared" si="14"/>
        <v>2.8497785794240369</v>
      </c>
      <c r="C153" s="4">
        <f t="shared" si="15"/>
        <v>6.129980597371266</v>
      </c>
      <c r="D153" s="4">
        <f t="shared" si="12"/>
        <v>205.36896087656541</v>
      </c>
      <c r="E153" s="4">
        <f t="shared" si="13"/>
        <v>195.23214133026318</v>
      </c>
    </row>
    <row r="154" spans="1:5" x14ac:dyDescent="0.4">
      <c r="A154">
        <v>64.25</v>
      </c>
      <c r="B154" s="4">
        <f t="shared" si="14"/>
        <v>2.847833792836107</v>
      </c>
      <c r="C154" s="4">
        <f t="shared" si="15"/>
        <v>6.1119388604727796</v>
      </c>
      <c r="D154" s="4">
        <f t="shared" si="12"/>
        <v>205.3613128923063</v>
      </c>
      <c r="E154" s="4">
        <f t="shared" si="13"/>
        <v>195.25432799691967</v>
      </c>
    </row>
    <row r="155" spans="1:5" x14ac:dyDescent="0.4">
      <c r="A155">
        <v>64.5</v>
      </c>
      <c r="B155" s="4">
        <f t="shared" si="14"/>
        <v>2.8458962763831051</v>
      </c>
      <c r="C155" s="4">
        <f t="shared" si="15"/>
        <v>6.094023410655975</v>
      </c>
      <c r="D155" s="4">
        <f t="shared" si="12"/>
        <v>205.35347259963658</v>
      </c>
      <c r="E155" s="4">
        <f t="shared" si="13"/>
        <v>195.27611352100396</v>
      </c>
    </row>
    <row r="156" spans="1:5" x14ac:dyDescent="0.4">
      <c r="A156">
        <v>64.75</v>
      </c>
      <c r="B156" s="4">
        <f t="shared" si="14"/>
        <v>2.8439659737824363</v>
      </c>
      <c r="C156" s="4">
        <f t="shared" si="15"/>
        <v>6.076232877689316</v>
      </c>
      <c r="D156" s="4">
        <f t="shared" si="12"/>
        <v>205.34544284601884</v>
      </c>
      <c r="E156" s="4">
        <f t="shared" si="13"/>
        <v>195.29750301585713</v>
      </c>
    </row>
    <row r="157" spans="1:5" x14ac:dyDescent="0.4">
      <c r="A157">
        <v>65</v>
      </c>
      <c r="B157" s="4">
        <f t="shared" si="14"/>
        <v>2.8420428294039319</v>
      </c>
      <c r="C157" s="4">
        <f t="shared" si="15"/>
        <v>6.0585659114428783</v>
      </c>
      <c r="D157" s="4">
        <f t="shared" si="12"/>
        <v>205.33722643185621</v>
      </c>
      <c r="E157" s="4">
        <f t="shared" si="13"/>
        <v>195.3185015145194</v>
      </c>
    </row>
    <row r="158" spans="1:5" x14ac:dyDescent="0.4">
      <c r="A158">
        <v>65.25</v>
      </c>
      <c r="B158" s="4">
        <f t="shared" si="14"/>
        <v>2.8401267882598025</v>
      </c>
      <c r="C158" s="4">
        <f t="shared" si="15"/>
        <v>6.0410211815174399</v>
      </c>
      <c r="D158" s="4">
        <f t="shared" si="12"/>
        <v>205.32882611141724</v>
      </c>
      <c r="E158" s="4">
        <f t="shared" si="13"/>
        <v>195.3391139712692</v>
      </c>
    </row>
    <row r="159" spans="1:5" x14ac:dyDescent="0.4">
      <c r="A159">
        <v>65.5</v>
      </c>
      <c r="B159" s="4">
        <f t="shared" si="14"/>
        <v>2.8382177959947787</v>
      </c>
      <c r="C159" s="4">
        <f t="shared" si="15"/>
        <v>6.02359737688165</v>
      </c>
      <c r="D159" s="4">
        <f t="shared" si="12"/>
        <v>205.32024459374117</v>
      </c>
      <c r="E159" s="4">
        <f t="shared" si="13"/>
        <v>195.35934526312769</v>
      </c>
    </row>
    <row r="160" spans="1:5" x14ac:dyDescent="0.4">
      <c r="A160">
        <v>65.75</v>
      </c>
      <c r="B160" s="4">
        <f t="shared" si="14"/>
        <v>2.8363157988764467</v>
      </c>
      <c r="C160" s="4">
        <f t="shared" si="15"/>
        <v>6.006293205517319</v>
      </c>
      <c r="D160" s="4">
        <f t="shared" si="12"/>
        <v>205.31148454352072</v>
      </c>
      <c r="E160" s="4">
        <f t="shared" si="13"/>
        <v>195.37920019132886</v>
      </c>
    </row>
    <row r="161" spans="1:6" x14ac:dyDescent="0.4">
      <c r="A161">
        <v>66</v>
      </c>
      <c r="B161" s="4">
        <f t="shared" si="14"/>
        <v>2.8344207437857571</v>
      </c>
      <c r="C161" s="4">
        <f t="shared" si="15"/>
        <v>5.989107394072481</v>
      </c>
      <c r="D161" s="4">
        <f t="shared" si="12"/>
        <v>205.30254858196585</v>
      </c>
      <c r="E161" s="4">
        <f t="shared" si="13"/>
        <v>195.39868348275624</v>
      </c>
    </row>
    <row r="162" spans="1:6" x14ac:dyDescent="0.4">
      <c r="A162">
        <v>66.25</v>
      </c>
      <c r="B162" s="4">
        <f t="shared" si="14"/>
        <v>2.8325325782077253</v>
      </c>
      <c r="C162" s="4">
        <f t="shared" si="15"/>
        <v>5.9720386875221223</v>
      </c>
      <c r="D162" s="4">
        <f t="shared" si="12"/>
        <v>205.29343928764681</v>
      </c>
      <c r="E162" s="4">
        <f t="shared" si="13"/>
        <v>195.41779979134759</v>
      </c>
    </row>
    <row r="163" spans="1:6" x14ac:dyDescent="0.4">
      <c r="A163">
        <v>66.5</v>
      </c>
      <c r="B163" s="4">
        <f t="shared" si="14"/>
        <v>2.8306512502223011</v>
      </c>
      <c r="C163" s="4">
        <f t="shared" si="15"/>
        <v>5.9550858488362559</v>
      </c>
      <c r="D163" s="4">
        <f t="shared" si="12"/>
        <v>205.28415919731879</v>
      </c>
      <c r="E163" s="4">
        <f t="shared" si="13"/>
        <v>195.43655369946808</v>
      </c>
    </row>
    <row r="164" spans="1:6" x14ac:dyDescent="0.4">
      <c r="A164">
        <v>66.75</v>
      </c>
      <c r="B164" s="4">
        <f t="shared" si="14"/>
        <v>2.8287767084954099</v>
      </c>
      <c r="C164" s="4">
        <f t="shared" si="15"/>
        <v>5.9382476586553237</v>
      </c>
      <c r="D164" s="4">
        <f t="shared" si="12"/>
        <v>205.2747108067272</v>
      </c>
      <c r="E164" s="4">
        <f t="shared" si="13"/>
        <v>195.4549497192526</v>
      </c>
    </row>
    <row r="165" spans="1:6" x14ac:dyDescent="0.4">
      <c r="A165">
        <v>67</v>
      </c>
      <c r="B165" s="4">
        <f t="shared" si="14"/>
        <v>2.826908902270167</v>
      </c>
      <c r="C165" s="4">
        <f t="shared" si="15"/>
        <v>5.921522914972603</v>
      </c>
      <c r="D165" s="4">
        <f t="shared" si="12"/>
        <v>205.26509657139539</v>
      </c>
      <c r="E165" s="4">
        <f t="shared" si="13"/>
        <v>195.47299229391828</v>
      </c>
    </row>
    <row r="166" spans="1:6" x14ac:dyDescent="0.4">
      <c r="A166">
        <v>67.25</v>
      </c>
      <c r="B166" s="4">
        <f t="shared" si="14"/>
        <v>2.8250477813582471</v>
      </c>
      <c r="C166" s="4">
        <f t="shared" si="15"/>
        <v>5.9049104328234154</v>
      </c>
      <c r="D166" s="4">
        <f t="shared" si="12"/>
        <v>205.25531890739387</v>
      </c>
      <c r="E166" s="4">
        <f t="shared" si="13"/>
        <v>195.49068579904812</v>
      </c>
    </row>
    <row r="167" spans="1:6" x14ac:dyDescent="0.4">
      <c r="A167">
        <v>67.5</v>
      </c>
      <c r="B167" s="4">
        <f t="shared" si="14"/>
        <v>2.8231932961314263</v>
      </c>
      <c r="C167" s="4">
        <f t="shared" si="15"/>
        <v>5.8884090439811976</v>
      </c>
      <c r="D167" s="4">
        <f t="shared" si="12"/>
        <v>205.24538019209282</v>
      </c>
      <c r="E167" s="4">
        <f t="shared" si="13"/>
        <v>195.50803454384584</v>
      </c>
    </row>
    <row r="168" spans="1:6" x14ac:dyDescent="0.4">
      <c r="A168">
        <v>67.75</v>
      </c>
      <c r="B168" s="4">
        <f t="shared" si="14"/>
        <v>2.8213453975132707</v>
      </c>
      <c r="C168" s="4">
        <f t="shared" si="15"/>
        <v>5.8720175966599193</v>
      </c>
      <c r="D168" s="4">
        <f t="shared" si="12"/>
        <v>205.23528276489762</v>
      </c>
      <c r="E168" s="4">
        <f t="shared" si="13"/>
        <v>195.52504277236346</v>
      </c>
    </row>
    <row r="169" spans="1:6" x14ac:dyDescent="0.4">
      <c r="A169">
        <v>68</v>
      </c>
      <c r="B169" s="4">
        <f t="shared" si="14"/>
        <v>2.8195040369709798</v>
      </c>
      <c r="C169" s="4">
        <f t="shared" si="15"/>
        <v>5.8557349552229523</v>
      </c>
      <c r="D169" s="4">
        <f t="shared" si="12"/>
        <v>205.22502892796771</v>
      </c>
      <c r="E169" s="4">
        <f t="shared" si="13"/>
        <v>195.54171466470163</v>
      </c>
    </row>
    <row r="170" spans="1:6" x14ac:dyDescent="0.4">
      <c r="A170">
        <v>68.25</v>
      </c>
      <c r="B170" s="4">
        <f t="shared" si="14"/>
        <v>2.8176691665073896</v>
      </c>
      <c r="C170" s="4">
        <f t="shared" si="15"/>
        <v>5.8395599998982366</v>
      </c>
      <c r="D170" s="4">
        <f t="shared" si="12"/>
        <v>205.21462094692004</v>
      </c>
      <c r="E170" s="4">
        <f t="shared" si="13"/>
        <v>195.55805433818432</v>
      </c>
    </row>
    <row r="171" spans="1:6" x14ac:dyDescent="0.4">
      <c r="A171">
        <v>68.5</v>
      </c>
      <c r="B171" s="4">
        <f t="shared" si="14"/>
        <v>2.8158407386531081</v>
      </c>
      <c r="C171" s="4">
        <f t="shared" si="15"/>
        <v>5.8234916264992664</v>
      </c>
      <c r="D171" s="4">
        <f t="shared" si="12"/>
        <v>205.20406105151613</v>
      </c>
      <c r="E171" s="4">
        <f t="shared" si="13"/>
        <v>195.57406584850688</v>
      </c>
    </row>
    <row r="172" spans="1:6" x14ac:dyDescent="0.4">
      <c r="A172">
        <v>68.75</v>
      </c>
      <c r="B172" s="4">
        <f t="shared" si="14"/>
        <v>2.8140187064588051</v>
      </c>
      <c r="C172" s="4">
        <f t="shared" si="15"/>
        <v>5.8075287461521805</v>
      </c>
      <c r="D172" s="4">
        <f t="shared" si="12"/>
        <v>205.19335143633478</v>
      </c>
      <c r="E172" s="4">
        <f t="shared" si="13"/>
        <v>195.58975319086028</v>
      </c>
    </row>
    <row r="173" spans="1:6" x14ac:dyDescent="0.4">
      <c r="A173">
        <v>69</v>
      </c>
      <c r="B173" s="4">
        <f t="shared" si="14"/>
        <v>2.8122030234876396</v>
      </c>
      <c r="C173" s="4">
        <f t="shared" si="15"/>
        <v>5.7916702850285677</v>
      </c>
      <c r="D173" s="4">
        <f t="shared" si="12"/>
        <v>205.18249426142958</v>
      </c>
      <c r="E173" s="4">
        <f t="shared" si="13"/>
        <v>195.60512030103044</v>
      </c>
    </row>
    <row r="174" spans="1:6" x14ac:dyDescent="0.4">
      <c r="A174">
        <v>69.25</v>
      </c>
      <c r="B174" s="4">
        <f t="shared" si="14"/>
        <v>2.8103936438078208</v>
      </c>
      <c r="C174" s="4">
        <f t="shared" si="15"/>
        <v>5.7759151840837903</v>
      </c>
      <c r="D174" s="4">
        <f t="shared" si="12"/>
        <v>205.17149165297181</v>
      </c>
      <c r="E174" s="4">
        <f t="shared" si="13"/>
        <v>195.62017105647394</v>
      </c>
    </row>
    <row r="175" spans="1:6" x14ac:dyDescent="0.4">
      <c r="A175">
        <v>69.5</v>
      </c>
      <c r="B175" s="4">
        <f t="shared" si="14"/>
        <v>2.8085905219853089</v>
      </c>
      <c r="C175" s="4">
        <f t="shared" si="15"/>
        <v>5.7602623988008972</v>
      </c>
      <c r="D175" s="4">
        <f t="shared" si="12"/>
        <v>205.16034570387984</v>
      </c>
      <c r="E175" s="4">
        <f t="shared" si="13"/>
        <v>195.63490927737067</v>
      </c>
    </row>
    <row r="176" spans="1:6" x14ac:dyDescent="0.4">
      <c r="A176" s="12">
        <f>E5</f>
        <v>56.401942621880451</v>
      </c>
      <c r="B176" s="12">
        <f t="shared" si="14"/>
        <v>2.9126744328371212</v>
      </c>
      <c r="C176" s="12">
        <f t="shared" si="15"/>
        <v>6.7466016818984631</v>
      </c>
      <c r="D176" s="12">
        <f t="shared" si="12"/>
        <v>205.49265399039604</v>
      </c>
      <c r="E176" s="12">
        <f t="shared" si="13"/>
        <v>194.33616128803553</v>
      </c>
      <c r="F176" s="2" t="s">
        <v>61</v>
      </c>
    </row>
    <row r="177" spans="1:5" x14ac:dyDescent="0.4">
      <c r="A177">
        <v>69.75</v>
      </c>
      <c r="B177" s="4">
        <f t="shared" si="14"/>
        <v>2.8067936130766444</v>
      </c>
      <c r="C177" s="4">
        <f t="shared" si="15"/>
        <v>5.7447108989398039</v>
      </c>
      <c r="D177" s="4">
        <f t="shared" si="12"/>
        <v>205.14905847443424</v>
      </c>
      <c r="E177" s="4">
        <f t="shared" si="13"/>
        <v>195.64933872765386</v>
      </c>
    </row>
    <row r="178" spans="1:5" x14ac:dyDescent="0.4">
      <c r="A178">
        <v>70</v>
      </c>
      <c r="B178" s="4">
        <f t="shared" si="14"/>
        <v>2.8050028726219076</v>
      </c>
      <c r="C178" s="4">
        <f t="shared" si="15"/>
        <v>5.729259668291756</v>
      </c>
      <c r="D178" s="4">
        <f t="shared" si="12"/>
        <v>205.13763199288019</v>
      </c>
      <c r="E178" s="4">
        <f t="shared" si="13"/>
        <v>195.66346311601851</v>
      </c>
    </row>
    <row r="179" spans="1:5" x14ac:dyDescent="0.4">
      <c r="A179">
        <v>70.25</v>
      </c>
      <c r="B179" s="4">
        <f t="shared" si="14"/>
        <v>2.8032182566377992</v>
      </c>
      <c r="C179" s="4">
        <f t="shared" si="15"/>
        <v>5.7139077044387552</v>
      </c>
      <c r="D179" s="4">
        <f t="shared" si="12"/>
        <v>205.12606825601594</v>
      </c>
      <c r="E179" s="4">
        <f t="shared" si="13"/>
        <v>195.67728609690764</v>
      </c>
    </row>
    <row r="180" spans="1:5" x14ac:dyDescent="0.4">
      <c r="A180">
        <v>70.5</v>
      </c>
      <c r="B180" s="4">
        <f t="shared" si="14"/>
        <v>2.8014397216108531</v>
      </c>
      <c r="C180" s="4">
        <f t="shared" si="15"/>
        <v>5.6986540185180914</v>
      </c>
      <c r="D180" s="4">
        <f t="shared" si="12"/>
        <v>205.11436922976972</v>
      </c>
      <c r="E180" s="4">
        <f t="shared" si="13"/>
        <v>195.69081127147865</v>
      </c>
    </row>
    <row r="181" spans="1:5" x14ac:dyDescent="0.4">
      <c r="A181">
        <v>70.75</v>
      </c>
      <c r="B181" s="4">
        <f t="shared" si="14"/>
        <v>2.7996672244907619</v>
      </c>
      <c r="C181" s="4">
        <f t="shared" si="15"/>
        <v>5.6834976349916584</v>
      </c>
      <c r="D181" s="4">
        <f t="shared" si="12"/>
        <v>205.10253684976342</v>
      </c>
      <c r="E181" s="4">
        <f t="shared" si="13"/>
        <v>195.70404218854833</v>
      </c>
    </row>
    <row r="182" spans="1:5" x14ac:dyDescent="0.4">
      <c r="A182">
        <v>71</v>
      </c>
      <c r="B182" s="4">
        <f t="shared" si="14"/>
        <v>2.797900722683822</v>
      </c>
      <c r="C182" s="4">
        <f t="shared" si="15"/>
        <v>5.6684375914199228</v>
      </c>
      <c r="D182" s="4">
        <f t="shared" si="12"/>
        <v>205.09057302186432</v>
      </c>
      <c r="E182" s="4">
        <f t="shared" si="13"/>
        <v>195.71698234551852</v>
      </c>
    </row>
    <row r="183" spans="1:5" x14ac:dyDescent="0.4">
      <c r="A183">
        <v>71.25</v>
      </c>
      <c r="B183" s="4">
        <f t="shared" si="14"/>
        <v>2.796140174046498</v>
      </c>
      <c r="C183" s="4">
        <f t="shared" si="15"/>
        <v>5.6534729382406317</v>
      </c>
      <c r="D183" s="4">
        <f t="shared" si="12"/>
        <v>205.07847962272544</v>
      </c>
      <c r="E183" s="4">
        <f t="shared" si="13"/>
        <v>195.72963518928233</v>
      </c>
    </row>
    <row r="184" spans="1:5" x14ac:dyDescent="0.4">
      <c r="A184">
        <v>71.5</v>
      </c>
      <c r="B184" s="4">
        <f t="shared" si="14"/>
        <v>2.7943855368790964</v>
      </c>
      <c r="C184" s="4">
        <f t="shared" si="15"/>
        <v>5.638602738551957</v>
      </c>
      <c r="D184" s="4">
        <f t="shared" si="12"/>
        <v>205.06625850031401</v>
      </c>
      <c r="E184" s="4">
        <f t="shared" si="13"/>
        <v>195.74200411711126</v>
      </c>
    </row>
    <row r="185" spans="1:5" x14ac:dyDescent="0.4">
      <c r="A185">
        <v>71.75</v>
      </c>
      <c r="B185" s="4">
        <f t="shared" si="14"/>
        <v>2.7926367699195489</v>
      </c>
      <c r="C185" s="4">
        <f t="shared" si="15"/>
        <v>5.6238260679000138</v>
      </c>
      <c r="D185" s="4">
        <f t="shared" si="12"/>
        <v>205.05391147442899</v>
      </c>
      <c r="E185" s="4">
        <f t="shared" si="13"/>
        <v>195.75409247752387</v>
      </c>
    </row>
    <row r="186" spans="1:5" x14ac:dyDescent="0.4">
      <c r="A186">
        <v>72</v>
      </c>
      <c r="B186" s="4">
        <f t="shared" si="14"/>
        <v>2.7908938323373129</v>
      </c>
      <c r="C186" s="4">
        <f t="shared" si="15"/>
        <v>5.6091420140707395</v>
      </c>
      <c r="D186" s="4">
        <f t="shared" si="12"/>
        <v>205.04144033720743</v>
      </c>
      <c r="E186" s="4">
        <f t="shared" si="13"/>
        <v>195.76590357113673</v>
      </c>
    </row>
    <row r="187" spans="1:5" x14ac:dyDescent="0.4">
      <c r="A187">
        <v>72.25</v>
      </c>
      <c r="B187" s="4">
        <f t="shared" si="14"/>
        <v>2.7891566837273611</v>
      </c>
      <c r="C187" s="4">
        <f t="shared" si="15"/>
        <v>5.5945496768858831</v>
      </c>
      <c r="D187" s="4">
        <f t="shared" si="12"/>
        <v>205.02884685362025</v>
      </c>
      <c r="E187" s="4">
        <f t="shared" si="13"/>
        <v>195.77744065149699</v>
      </c>
    </row>
    <row r="188" spans="1:5" x14ac:dyDescent="0.4">
      <c r="A188">
        <v>72.5</v>
      </c>
      <c r="B188" s="4">
        <f t="shared" si="14"/>
        <v>2.7874252841042964</v>
      </c>
      <c r="C188" s="4">
        <f t="shared" si="15"/>
        <v>5.5800481680031702</v>
      </c>
      <c r="D188" s="4">
        <f t="shared" si="12"/>
        <v>205.01613276195783</v>
      </c>
      <c r="E188" s="4">
        <f t="shared" si="13"/>
        <v>195.78870692589905</v>
      </c>
    </row>
    <row r="189" spans="1:5" x14ac:dyDescent="0.4">
      <c r="A189">
        <v>72.75</v>
      </c>
      <c r="B189" s="4">
        <f t="shared" si="14"/>
        <v>2.7856995938965503</v>
      </c>
      <c r="C189" s="4">
        <f t="shared" si="15"/>
        <v>5.5656366107203912</v>
      </c>
      <c r="D189" s="4">
        <f t="shared" si="12"/>
        <v>205.00329977430499</v>
      </c>
      <c r="E189" s="4">
        <f t="shared" si="13"/>
        <v>195.79970555618306</v>
      </c>
    </row>
    <row r="190" spans="1:5" x14ac:dyDescent="0.4">
      <c r="A190">
        <v>73</v>
      </c>
      <c r="B190" s="4">
        <f t="shared" si="14"/>
        <v>2.7839795739406914</v>
      </c>
      <c r="C190" s="4">
        <f t="shared" si="15"/>
        <v>5.5513141397834405</v>
      </c>
      <c r="D190" s="4">
        <f t="shared" si="12"/>
        <v>204.99034957700661</v>
      </c>
      <c r="E190" s="4">
        <f t="shared" si="13"/>
        <v>195.81043965951804</v>
      </c>
    </row>
    <row r="191" spans="1:5" x14ac:dyDescent="0.4">
      <c r="A191">
        <v>73.25</v>
      </c>
      <c r="B191" s="4">
        <f t="shared" si="14"/>
        <v>2.7822651854758282</v>
      </c>
      <c r="C191" s="4">
        <f t="shared" si="15"/>
        <v>5.5370799011981573</v>
      </c>
      <c r="D191" s="4">
        <f t="shared" si="12"/>
        <v>204.97728383112306</v>
      </c>
      <c r="E191" s="4">
        <f t="shared" si="13"/>
        <v>195.82091230916873</v>
      </c>
    </row>
    <row r="192" spans="1:5" x14ac:dyDescent="0.4">
      <c r="A192">
        <v>73.5</v>
      </c>
      <c r="B192" s="4">
        <f t="shared" si="14"/>
        <v>2.7805563901381047</v>
      </c>
      <c r="C192" s="4">
        <f t="shared" si="15"/>
        <v>5.5229330520458237</v>
      </c>
      <c r="D192" s="4">
        <f t="shared" si="12"/>
        <v>204.96410417287649</v>
      </c>
      <c r="E192" s="4">
        <f t="shared" si="13"/>
        <v>195.83112653524663</v>
      </c>
    </row>
    <row r="193" spans="1:5" x14ac:dyDescent="0.4">
      <c r="A193">
        <v>73.75</v>
      </c>
      <c r="B193" s="4">
        <f t="shared" si="14"/>
        <v>2.7788531499553009</v>
      </c>
      <c r="C193" s="4">
        <f t="shared" si="15"/>
        <v>5.5088727603024763</v>
      </c>
      <c r="D193" s="4">
        <f t="shared" si="12"/>
        <v>204.95081221408796</v>
      </c>
      <c r="E193" s="4">
        <f t="shared" si="13"/>
        <v>195.84108532544607</v>
      </c>
    </row>
    <row r="194" spans="1:5" x14ac:dyDescent="0.4">
      <c r="A194">
        <v>74</v>
      </c>
      <c r="B194" s="4">
        <f t="shared" si="14"/>
        <v>2.7771554273415049</v>
      </c>
      <c r="C194" s="4">
        <f t="shared" si="15"/>
        <v>5.4948982046615296</v>
      </c>
      <c r="D194" s="4">
        <f t="shared" si="12"/>
        <v>204.93740954260525</v>
      </c>
      <c r="E194" s="4">
        <f t="shared" si="13"/>
        <v>195.85079162576548</v>
      </c>
    </row>
    <row r="195" spans="1:5" x14ac:dyDescent="0.4">
      <c r="A195">
        <v>74.25</v>
      </c>
      <c r="B195" s="4">
        <f t="shared" si="14"/>
        <v>2.7754631850918972</v>
      </c>
      <c r="C195" s="4">
        <f t="shared" si="15"/>
        <v>5.4810085743601027</v>
      </c>
      <c r="D195" s="4">
        <f t="shared" si="12"/>
        <v>204.92389772272227</v>
      </c>
      <c r="E195" s="4">
        <f t="shared" si="13"/>
        <v>195.86024834121369</v>
      </c>
    </row>
    <row r="196" spans="1:5" x14ac:dyDescent="0.4">
      <c r="A196">
        <v>74.5</v>
      </c>
      <c r="B196" s="4">
        <f t="shared" si="14"/>
        <v>2.7737763863776097</v>
      </c>
      <c r="C196" s="4">
        <f t="shared" si="15"/>
        <v>5.46720306900857</v>
      </c>
      <c r="D196" s="4">
        <f t="shared" si="12"/>
        <v>204.91027829558948</v>
      </c>
      <c r="E196" s="4">
        <f t="shared" si="13"/>
        <v>195.86945833650256</v>
      </c>
    </row>
    <row r="197" spans="1:5" x14ac:dyDescent="0.4">
      <c r="A197">
        <v>74.75</v>
      </c>
      <c r="B197" s="4">
        <f t="shared" si="14"/>
        <v>2.7720949947406703</v>
      </c>
      <c r="C197" s="4">
        <f t="shared" si="15"/>
        <v>5.4534808984234937</v>
      </c>
      <c r="D197" s="4">
        <f t="shared" si="12"/>
        <v>204.89655277961643</v>
      </c>
      <c r="E197" s="4">
        <f t="shared" si="13"/>
        <v>195.87842443672551</v>
      </c>
    </row>
    <row r="198" spans="1:5" x14ac:dyDescent="0.4">
      <c r="A198">
        <v>75</v>
      </c>
      <c r="B198" s="4">
        <f t="shared" si="14"/>
        <v>2.7704189740890404</v>
      </c>
      <c r="C198" s="4">
        <f t="shared" si="15"/>
        <v>5.4398412824638225</v>
      </c>
      <c r="D198" s="4">
        <f t="shared" si="12"/>
        <v>204.88272267086558</v>
      </c>
      <c r="E198" s="4">
        <f t="shared" si="13"/>
        <v>195.88714942802235</v>
      </c>
    </row>
    <row r="199" spans="1:5" x14ac:dyDescent="0.4">
      <c r="A199">
        <v>75.25</v>
      </c>
      <c r="B199" s="4">
        <f t="shared" si="14"/>
        <v>2.768748288691731</v>
      </c>
      <c r="C199" s="4">
        <f t="shared" si="15"/>
        <v>5.4262834508702316</v>
      </c>
      <c r="D199" s="4">
        <f t="shared" si="12"/>
        <v>204.86878944343871</v>
      </c>
      <c r="E199" s="4">
        <f t="shared" si="13"/>
        <v>195.8956360582313</v>
      </c>
    </row>
    <row r="200" spans="1:5" x14ac:dyDescent="0.4">
      <c r="A200">
        <v>75.5</v>
      </c>
      <c r="B200" s="4">
        <f t="shared" si="14"/>
        <v>2.7670829031739954</v>
      </c>
      <c r="C200" s="4">
        <f t="shared" si="15"/>
        <v>5.4128066431075172</v>
      </c>
      <c r="D200" s="4">
        <f t="shared" si="12"/>
        <v>204.85475454985502</v>
      </c>
      <c r="E200" s="4">
        <f t="shared" si="13"/>
        <v>195.90388703752774</v>
      </c>
    </row>
    <row r="201" spans="1:5" x14ac:dyDescent="0.4">
      <c r="A201">
        <v>75.75</v>
      </c>
      <c r="B201" s="4">
        <f t="shared" si="14"/>
        <v>2.7654227825126094</v>
      </c>
      <c r="C201" s="4">
        <f t="shared" si="15"/>
        <v>5.3994101082100663</v>
      </c>
      <c r="D201" s="4">
        <f t="shared" si="12"/>
        <v>204.84061942142176</v>
      </c>
      <c r="E201" s="4">
        <f t="shared" si="13"/>
        <v>195.91190503905045</v>
      </c>
    </row>
    <row r="202" spans="1:5" x14ac:dyDescent="0.4">
      <c r="A202">
        <v>76</v>
      </c>
      <c r="B202" s="4">
        <f t="shared" si="14"/>
        <v>2.7637678920312254</v>
      </c>
      <c r="C202" s="4">
        <f t="shared" si="15"/>
        <v>5.3860931046302989</v>
      </c>
      <c r="D202" s="4">
        <f t="shared" si="12"/>
        <v>204.82638546859778</v>
      </c>
      <c r="E202" s="4">
        <f t="shared" si="13"/>
        <v>195.91969269951571</v>
      </c>
    </row>
    <row r="203" spans="1:5" x14ac:dyDescent="0.4">
      <c r="A203">
        <v>76.25</v>
      </c>
      <c r="B203" s="4">
        <f t="shared" si="14"/>
        <v>2.7621181973958024</v>
      </c>
      <c r="C203" s="4">
        <f t="shared" si="15"/>
        <v>5.3728549000899415</v>
      </c>
      <c r="D203" s="4">
        <f t="shared" si="12"/>
        <v>204.81205408134917</v>
      </c>
      <c r="E203" s="4">
        <f t="shared" si="13"/>
        <v>195.92725261981872</v>
      </c>
    </row>
    <row r="204" spans="1:5" x14ac:dyDescent="0.4">
      <c r="A204">
        <v>76.5</v>
      </c>
      <c r="B204" s="4">
        <f t="shared" si="14"/>
        <v>2.7604736646101147</v>
      </c>
      <c r="C204" s="4">
        <f t="shared" si="15"/>
        <v>5.3596947714341736</v>
      </c>
      <c r="D204" s="4">
        <f t="shared" si="12"/>
        <v>204.79762662949832</v>
      </c>
      <c r="E204" s="4">
        <f t="shared" si="13"/>
        <v>195.93458736562422</v>
      </c>
    </row>
    <row r="205" spans="1:5" x14ac:dyDescent="0.4">
      <c r="A205">
        <v>76.75</v>
      </c>
      <c r="B205" s="4">
        <f t="shared" si="14"/>
        <v>2.7588342600113287</v>
      </c>
      <c r="C205" s="4">
        <f t="shared" si="15"/>
        <v>5.3466120044885415</v>
      </c>
      <c r="D205" s="4">
        <f t="shared" si="12"/>
        <v>204.78310446306591</v>
      </c>
      <c r="E205" s="4">
        <f t="shared" si="13"/>
        <v>195.94169946794483</v>
      </c>
    </row>
    <row r="206" spans="1:5" x14ac:dyDescent="0.4">
      <c r="A206">
        <v>77</v>
      </c>
      <c r="B206" s="4">
        <f t="shared" si="14"/>
        <v>2.7571999502656563</v>
      </c>
      <c r="C206" s="4">
        <f t="shared" si="15"/>
        <v>5.3336058939185049</v>
      </c>
      <c r="D206" s="4">
        <f t="shared" si="12"/>
        <v>204.76848891260585</v>
      </c>
      <c r="E206" s="4">
        <f t="shared" si="13"/>
        <v>195.94859142370822</v>
      </c>
    </row>
    <row r="207" spans="1:5" x14ac:dyDescent="0.4">
      <c r="A207">
        <v>77.25</v>
      </c>
      <c r="B207" s="4">
        <f t="shared" si="14"/>
        <v>2.7555707023640763</v>
      </c>
      <c r="C207" s="4">
        <f t="shared" si="15"/>
        <v>5.3206757430917495</v>
      </c>
      <c r="D207" s="4">
        <f t="shared" ref="D207:D270" si="16">$B$6*$B$12/9.81*($B$9*SQRT(2/($B$9-1)*(2/($B$9+1))^(($B$9+1)/($B$9-1))*(1 - (A207/$B$3)^(($B$9-1)/$B$9))) + C207/$B$3*(A207 - $E$5))</f>
        <v>204.75378128953392</v>
      </c>
      <c r="E207" s="4">
        <f t="shared" ref="E207:E270" si="17">$B$6*$B$12/9.81*($B$9*SQRT(2/($B$9-1)*(2/($B$9+1))^(($B$9+1)/($B$9-1))*(1 - (A207/$B$3)^(($B$9-1)/$B$9))) + C207/$B$3*(A207 - $E$4))</f>
        <v>195.95526569631366</v>
      </c>
    </row>
    <row r="208" spans="1:5" x14ac:dyDescent="0.4">
      <c r="A208">
        <v>77.5</v>
      </c>
      <c r="B208" s="4">
        <f t="shared" ref="B208:B271" si="18">SQRT(2/($B$9-1)*((A208/$B$3)^((1-$B$9)/$B$9) - 1))</f>
        <v>2.7539464836181273</v>
      </c>
      <c r="C208" s="4">
        <f t="shared" ref="C208:C271" si="19">1/B208*(2/($B$9+1)*(1 + ($B$9-1)/2*B208^2))^(($B$9+1)/(2*$B$9-2))</f>
        <v>5.3078208639429505</v>
      </c>
      <c r="D208" s="4">
        <f t="shared" si="16"/>
        <v>204.73898288644986</v>
      </c>
      <c r="E208" s="4">
        <f t="shared" si="17"/>
        <v>195.96172471617757</v>
      </c>
    </row>
    <row r="209" spans="1:5" x14ac:dyDescent="0.4">
      <c r="A209">
        <v>77.75</v>
      </c>
      <c r="B209" s="4">
        <f t="shared" si="18"/>
        <v>2.7523272616557675</v>
      </c>
      <c r="C209" s="4">
        <f t="shared" si="19"/>
        <v>5.2950405768411937</v>
      </c>
      <c r="D209" s="4">
        <f t="shared" si="16"/>
        <v>204.72409497745321</v>
      </c>
      <c r="E209" s="4">
        <f t="shared" si="17"/>
        <v>195.96797088126849</v>
      </c>
    </row>
    <row r="210" spans="1:5" x14ac:dyDescent="0.4">
      <c r="A210">
        <v>78</v>
      </c>
      <c r="B210" s="4">
        <f t="shared" si="18"/>
        <v>2.7507130044172983</v>
      </c>
      <c r="C210" s="4">
        <f t="shared" si="19"/>
        <v>5.2823342104597364</v>
      </c>
      <c r="D210" s="4">
        <f t="shared" si="16"/>
        <v>204.7091188184524</v>
      </c>
      <c r="E210" s="4">
        <f t="shared" si="17"/>
        <v>195.97400655763195</v>
      </c>
    </row>
    <row r="211" spans="1:5" x14ac:dyDescent="0.4">
      <c r="A211">
        <v>78.25</v>
      </c>
      <c r="B211" s="4">
        <f t="shared" si="18"/>
        <v>2.74910368015136</v>
      </c>
      <c r="C211" s="4">
        <f t="shared" si="19"/>
        <v>5.2697011016483311</v>
      </c>
      <c r="D211" s="4">
        <f t="shared" si="16"/>
        <v>204.69405564746879</v>
      </c>
      <c r="E211" s="4">
        <f t="shared" si="17"/>
        <v>195.97983407990517</v>
      </c>
    </row>
    <row r="212" spans="1:5" x14ac:dyDescent="0.4">
      <c r="A212">
        <v>78.5</v>
      </c>
      <c r="B212" s="4">
        <f t="shared" si="18"/>
        <v>2.7474992574109849</v>
      </c>
      <c r="C212" s="4">
        <f t="shared" si="19"/>
        <v>5.2571405953077717</v>
      </c>
      <c r="D212" s="4">
        <f t="shared" si="16"/>
        <v>204.67890668493385</v>
      </c>
      <c r="E212" s="4">
        <f t="shared" si="17"/>
        <v>195.98545575182197</v>
      </c>
    </row>
    <row r="213" spans="1:5" x14ac:dyDescent="0.4">
      <c r="A213">
        <v>78.75</v>
      </c>
      <c r="B213" s="4">
        <f t="shared" si="18"/>
        <v>2.7458997050497156</v>
      </c>
      <c r="C213" s="4">
        <f t="shared" si="19"/>
        <v>5.2446520442668678</v>
      </c>
      <c r="D213" s="4">
        <f t="shared" si="16"/>
        <v>204.66367313398118</v>
      </c>
      <c r="E213" s="4">
        <f t="shared" si="17"/>
        <v>195.99087384670824</v>
      </c>
    </row>
    <row r="214" spans="1:5" x14ac:dyDescent="0.4">
      <c r="A214">
        <v>79</v>
      </c>
      <c r="B214" s="4">
        <f t="shared" si="18"/>
        <v>2.7443049922177889</v>
      </c>
      <c r="C214" s="4">
        <f t="shared" si="19"/>
        <v>5.2322348091616577</v>
      </c>
      <c r="D214" s="4">
        <f t="shared" si="16"/>
        <v>204.64835618073255</v>
      </c>
      <c r="E214" s="4">
        <f t="shared" si="17"/>
        <v>195.99609060796755</v>
      </c>
    </row>
    <row r="215" spans="1:5" x14ac:dyDescent="0.4">
      <c r="A215">
        <v>79.25</v>
      </c>
      <c r="B215" s="4">
        <f t="shared" si="18"/>
        <v>2.7427150883583709</v>
      </c>
      <c r="C215" s="4">
        <f t="shared" si="19"/>
        <v>5.2198882583167547</v>
      </c>
      <c r="D215" s="4">
        <f t="shared" si="16"/>
        <v>204.63295699457862</v>
      </c>
      <c r="E215" s="4">
        <f t="shared" si="17"/>
        <v>196.00110824955817</v>
      </c>
    </row>
    <row r="216" spans="1:5" x14ac:dyDescent="0.4">
      <c r="A216">
        <v>79.5</v>
      </c>
      <c r="B216" s="4">
        <f t="shared" si="18"/>
        <v>2.7411299632038633</v>
      </c>
      <c r="C216" s="4">
        <f t="shared" si="19"/>
        <v>5.2076117676289977</v>
      </c>
      <c r="D216" s="4">
        <f t="shared" si="16"/>
        <v>204.61747672845405</v>
      </c>
      <c r="E216" s="4">
        <f t="shared" si="17"/>
        <v>196.00592895646068</v>
      </c>
    </row>
    <row r="217" spans="1:5" x14ac:dyDescent="0.4">
      <c r="A217">
        <v>79.75</v>
      </c>
      <c r="B217" s="4">
        <f t="shared" si="18"/>
        <v>2.739549586772255</v>
      </c>
      <c r="C217" s="4">
        <f t="shared" si="19"/>
        <v>5.1954047204531273</v>
      </c>
      <c r="D217" s="4">
        <f t="shared" si="16"/>
        <v>204.6019165191075</v>
      </c>
      <c r="E217" s="4">
        <f t="shared" si="17"/>
        <v>196.01055488513683</v>
      </c>
    </row>
    <row r="218" spans="1:5" x14ac:dyDescent="0.4">
      <c r="A218">
        <v>80</v>
      </c>
      <c r="B218" s="4">
        <f t="shared" si="18"/>
        <v>2.7379739293635463</v>
      </c>
      <c r="C218" s="4">
        <f t="shared" si="19"/>
        <v>5.1832665074895798</v>
      </c>
      <c r="D218" s="4">
        <f t="shared" si="16"/>
        <v>204.58627748736649</v>
      </c>
      <c r="E218" s="4">
        <f t="shared" si="17"/>
        <v>196.01498816398009</v>
      </c>
    </row>
    <row r="219" spans="1:5" x14ac:dyDescent="0.4">
      <c r="A219">
        <v>80.25</v>
      </c>
      <c r="B219" s="4">
        <f t="shared" si="18"/>
        <v>2.736402961556212</v>
      </c>
      <c r="C219" s="4">
        <f t="shared" si="19"/>
        <v>5.1711965266742999</v>
      </c>
      <c r="D219" s="4">
        <f t="shared" si="16"/>
        <v>204.57056073839703</v>
      </c>
      <c r="E219" s="4">
        <f t="shared" si="17"/>
        <v>196.01923089375748</v>
      </c>
    </row>
    <row r="220" spans="1:5" x14ac:dyDescent="0.4">
      <c r="A220">
        <v>80.5</v>
      </c>
      <c r="B220" s="4">
        <f t="shared" si="18"/>
        <v>2.734836654203733</v>
      </c>
      <c r="C220" s="4">
        <f t="shared" si="19"/>
        <v>5.1591941830705403</v>
      </c>
      <c r="D220" s="4">
        <f t="shared" si="16"/>
        <v>204.55476736195837</v>
      </c>
      <c r="E220" s="4">
        <f t="shared" si="17"/>
        <v>196.02328514804319</v>
      </c>
    </row>
    <row r="221" spans="1:5" x14ac:dyDescent="0.4">
      <c r="A221" s="4">
        <v>80.75</v>
      </c>
      <c r="B221" s="4">
        <f t="shared" si="18"/>
        <v>2.7332749784311772</v>
      </c>
      <c r="C221" s="4">
        <f t="shared" si="19"/>
        <v>5.1472588887626651</v>
      </c>
      <c r="D221" s="4">
        <f t="shared" si="16"/>
        <v>204.53889843265318</v>
      </c>
      <c r="E221" s="4">
        <f t="shared" si="17"/>
        <v>196.02715297364432</v>
      </c>
    </row>
    <row r="222" spans="1:5" x14ac:dyDescent="0.4">
      <c r="A222" s="11">
        <v>81</v>
      </c>
      <c r="B222" s="4">
        <f t="shared" si="18"/>
        <v>2.7317179056318288</v>
      </c>
      <c r="C222" s="4">
        <f t="shared" si="19"/>
        <v>5.1353900627517204</v>
      </c>
      <c r="D222" s="4">
        <f t="shared" si="16"/>
        <v>204.52295501017241</v>
      </c>
      <c r="E222" s="4">
        <f t="shared" si="17"/>
        <v>196.03083639101865</v>
      </c>
    </row>
    <row r="223" spans="1:5" x14ac:dyDescent="0.4">
      <c r="A223">
        <v>81.25</v>
      </c>
      <c r="B223" s="4">
        <f t="shared" si="18"/>
        <v>2.730165407463879</v>
      </c>
      <c r="C223" s="4">
        <f t="shared" si="19"/>
        <v>5.1235871308530729</v>
      </c>
      <c r="D223" s="4">
        <f t="shared" si="16"/>
        <v>204.50693813953637</v>
      </c>
      <c r="E223" s="4">
        <f t="shared" si="17"/>
        <v>196.03433739468468</v>
      </c>
    </row>
    <row r="224" spans="1:5" x14ac:dyDescent="0.4">
      <c r="A224">
        <v>81.5</v>
      </c>
      <c r="B224" s="4">
        <f t="shared" si="18"/>
        <v>2.728617455847159</v>
      </c>
      <c r="C224" s="4">
        <f t="shared" si="19"/>
        <v>5.1118495255956935</v>
      </c>
      <c r="D224" s="4">
        <f t="shared" si="16"/>
        <v>204.49084885133024</v>
      </c>
      <c r="E224" s="4">
        <f t="shared" si="17"/>
        <v>196.03765795362406</v>
      </c>
    </row>
    <row r="225" spans="1:5" x14ac:dyDescent="0.4">
      <c r="A225">
        <v>81.75</v>
      </c>
      <c r="B225" s="4">
        <f t="shared" si="18"/>
        <v>2.7270740229599286</v>
      </c>
      <c r="C225" s="4">
        <f t="shared" si="19"/>
        <v>5.1001766861233433</v>
      </c>
      <c r="D225" s="4">
        <f t="shared" si="16"/>
        <v>204.47468816193629</v>
      </c>
      <c r="E225" s="4">
        <f t="shared" si="17"/>
        <v>196.04080001167679</v>
      </c>
    </row>
    <row r="226" spans="1:5" x14ac:dyDescent="0.4">
      <c r="A226">
        <v>82</v>
      </c>
      <c r="B226" s="4">
        <f t="shared" si="18"/>
        <v>2.725535081235714</v>
      </c>
      <c r="C226" s="4">
        <f t="shared" si="19"/>
        <v>5.0885680580974704</v>
      </c>
      <c r="D226" s="4">
        <f t="shared" si="16"/>
        <v>204.45845707376083</v>
      </c>
      <c r="E226" s="4">
        <f t="shared" si="17"/>
        <v>196.04376548792911</v>
      </c>
    </row>
    <row r="227" spans="1:5" x14ac:dyDescent="0.4">
      <c r="A227">
        <v>82.25</v>
      </c>
      <c r="B227" s="4">
        <f t="shared" si="18"/>
        <v>2.7240006033601865</v>
      </c>
      <c r="C227" s="4">
        <f t="shared" si="19"/>
        <v>5.077023093601837</v>
      </c>
      <c r="D227" s="4">
        <f t="shared" si="16"/>
        <v>204.44215657545743</v>
      </c>
      <c r="E227" s="4">
        <f t="shared" si="17"/>
        <v>196.0465562770942</v>
      </c>
    </row>
    <row r="228" spans="1:5" x14ac:dyDescent="0.4">
      <c r="A228">
        <v>82.5</v>
      </c>
      <c r="B228" s="4">
        <f t="shared" si="18"/>
        <v>2.7224705622680991</v>
      </c>
      <c r="C228" s="4">
        <f t="shared" si="19"/>
        <v>5.0655412510487894</v>
      </c>
      <c r="D228" s="4">
        <f t="shared" si="16"/>
        <v>204.42578764214585</v>
      </c>
      <c r="E228" s="4">
        <f t="shared" si="17"/>
        <v>196.04917424988625</v>
      </c>
    </row>
    <row r="229" spans="1:5" x14ac:dyDescent="0.4">
      <c r="A229">
        <v>82.75</v>
      </c>
      <c r="B229" s="4">
        <f t="shared" si="18"/>
        <v>2.7209449311402634</v>
      </c>
      <c r="C229" s="4">
        <f t="shared" si="19"/>
        <v>5.0541219950872529</v>
      </c>
      <c r="D229" s="4">
        <f t="shared" si="16"/>
        <v>204.40935123562681</v>
      </c>
      <c r="E229" s="4">
        <f t="shared" si="17"/>
        <v>196.05162125338725</v>
      </c>
    </row>
    <row r="230" spans="1:5" x14ac:dyDescent="0.4">
      <c r="A230">
        <v>83</v>
      </c>
      <c r="B230" s="4">
        <f t="shared" si="18"/>
        <v>2.7194236834005725</v>
      </c>
      <c r="C230" s="4">
        <f t="shared" si="19"/>
        <v>5.0427647965122535</v>
      </c>
      <c r="D230" s="4">
        <f t="shared" si="16"/>
        <v>204.39284830459312</v>
      </c>
      <c r="E230" s="4">
        <f t="shared" si="17"/>
        <v>196.05389911140787</v>
      </c>
    </row>
    <row r="231" spans="1:5" x14ac:dyDescent="0.4">
      <c r="A231">
        <v>83.25</v>
      </c>
      <c r="B231" s="4">
        <f t="shared" si="18"/>
        <v>2.7179067927130713</v>
      </c>
      <c r="C231" s="4">
        <f t="shared" si="19"/>
        <v>5.031469132176082</v>
      </c>
      <c r="D231" s="4">
        <f t="shared" si="16"/>
        <v>204.3762797848365</v>
      </c>
      <c r="E231" s="4">
        <f t="shared" si="17"/>
        <v>196.0560096248411</v>
      </c>
    </row>
    <row r="232" spans="1:5" x14ac:dyDescent="0.4">
      <c r="A232">
        <v>83.5</v>
      </c>
      <c r="B232" s="4">
        <f t="shared" si="18"/>
        <v>2.7163942329790673</v>
      </c>
      <c r="C232" s="4">
        <f t="shared" si="19"/>
        <v>5.0202344849009659</v>
      </c>
      <c r="D232" s="4">
        <f t="shared" si="16"/>
        <v>204.35964659945088</v>
      </c>
      <c r="E232" s="4">
        <f t="shared" si="17"/>
        <v>196.05795457200998</v>
      </c>
    </row>
    <row r="233" spans="1:5" x14ac:dyDescent="0.4">
      <c r="A233">
        <v>83.75</v>
      </c>
      <c r="B233" s="4">
        <f t="shared" si="18"/>
        <v>2.7148859783342885</v>
      </c>
      <c r="C233" s="4">
        <f t="shared" si="19"/>
        <v>5.0090603433932843</v>
      </c>
      <c r="D233" s="4">
        <f t="shared" si="16"/>
        <v>204.34294965903189</v>
      </c>
      <c r="E233" s="4">
        <f t="shared" si="17"/>
        <v>196.05973570900881</v>
      </c>
    </row>
    <row r="234" spans="1:5" x14ac:dyDescent="0.4">
      <c r="A234">
        <v>84</v>
      </c>
      <c r="B234" s="4">
        <f t="shared" si="18"/>
        <v>2.7133820031460822</v>
      </c>
      <c r="C234" s="4">
        <f t="shared" si="19"/>
        <v>4.9979462021592704</v>
      </c>
      <c r="D234" s="4">
        <f t="shared" si="16"/>
        <v>204.32618986187256</v>
      </c>
      <c r="E234" s="4">
        <f t="shared" si="17"/>
        <v>196.06135477003866</v>
      </c>
    </row>
    <row r="235" spans="1:5" x14ac:dyDescent="0.4">
      <c r="A235">
        <v>84.25</v>
      </c>
      <c r="B235" s="4">
        <f t="shared" si="18"/>
        <v>2.7118822820106523</v>
      </c>
      <c r="C235" s="4">
        <f t="shared" si="19"/>
        <v>4.9868915614221132</v>
      </c>
      <c r="D235" s="4">
        <f t="shared" si="16"/>
        <v>204.30936809415587</v>
      </c>
      <c r="E235" s="4">
        <f t="shared" si="17"/>
        <v>196.06281346773645</v>
      </c>
    </row>
    <row r="236" spans="1:5" x14ac:dyDescent="0.4">
      <c r="A236">
        <v>84.5</v>
      </c>
      <c r="B236" s="4">
        <f t="shared" si="18"/>
        <v>2.7103867897503449</v>
      </c>
      <c r="C236" s="4">
        <f t="shared" si="19"/>
        <v>4.9758959270405736</v>
      </c>
      <c r="D236" s="4">
        <f t="shared" si="16"/>
        <v>204.29248523014328</v>
      </c>
      <c r="E236" s="4">
        <f t="shared" si="17"/>
        <v>196.0641134934985</v>
      </c>
    </row>
    <row r="237" spans="1:5" x14ac:dyDescent="0.4">
      <c r="A237">
        <v>84.75</v>
      </c>
      <c r="B237" s="4">
        <f t="shared" si="18"/>
        <v>2.7088955014109666</v>
      </c>
      <c r="C237" s="4">
        <f t="shared" si="19"/>
        <v>4.9649588104289348</v>
      </c>
      <c r="D237" s="4">
        <f t="shared" si="16"/>
        <v>204.27554213236016</v>
      </c>
      <c r="E237" s="4">
        <f t="shared" si="17"/>
        <v>196.06525651779819</v>
      </c>
    </row>
    <row r="238" spans="1:5" x14ac:dyDescent="0.4">
      <c r="A238">
        <v>85</v>
      </c>
      <c r="B238" s="4">
        <f t="shared" si="18"/>
        <v>2.7074083922591456</v>
      </c>
      <c r="C238" s="4">
        <f t="shared" si="19"/>
        <v>4.9540797284783133</v>
      </c>
      <c r="D238" s="4">
        <f t="shared" si="16"/>
        <v>204.25853965177774</v>
      </c>
      <c r="E238" s="4">
        <f t="shared" si="17"/>
        <v>196.0662441904978</v>
      </c>
    </row>
    <row r="239" spans="1:5" x14ac:dyDescent="0.4">
      <c r="A239">
        <v>85.25</v>
      </c>
      <c r="B239" s="4">
        <f t="shared" si="18"/>
        <v>2.7059254377797357</v>
      </c>
      <c r="C239" s="4">
        <f t="shared" si="19"/>
        <v>4.9432582034794015</v>
      </c>
      <c r="D239" s="4">
        <f t="shared" si="16"/>
        <v>204.241478627992</v>
      </c>
      <c r="E239" s="4">
        <f t="shared" si="17"/>
        <v>196.06707814115566</v>
      </c>
    </row>
    <row r="240" spans="1:5" x14ac:dyDescent="0.4">
      <c r="A240">
        <v>85.5</v>
      </c>
      <c r="B240" s="4">
        <f t="shared" si="18"/>
        <v>2.7044466136732481</v>
      </c>
      <c r="C240" s="4">
        <f t="shared" si="19"/>
        <v>4.9324937630463817</v>
      </c>
      <c r="D240" s="4">
        <f t="shared" si="16"/>
        <v>204.22435988939898</v>
      </c>
      <c r="E240" s="4">
        <f t="shared" si="17"/>
        <v>196.06775997932684</v>
      </c>
    </row>
    <row r="241" spans="1:6" x14ac:dyDescent="0.4">
      <c r="A241">
        <v>85.75</v>
      </c>
      <c r="B241" s="4">
        <f t="shared" si="18"/>
        <v>2.7029718958533322</v>
      </c>
      <c r="C241" s="4">
        <f t="shared" si="19"/>
        <v>4.9217859400422741</v>
      </c>
      <c r="D241" s="4">
        <f t="shared" si="16"/>
        <v>204.20718425336719</v>
      </c>
      <c r="E241" s="4">
        <f t="shared" si="17"/>
        <v>196.06829129485914</v>
      </c>
    </row>
    <row r="242" spans="1:6" x14ac:dyDescent="0.4">
      <c r="A242">
        <v>86</v>
      </c>
      <c r="B242" s="4">
        <f t="shared" si="18"/>
        <v>2.7015012604442856</v>
      </c>
      <c r="C242" s="4">
        <f t="shared" si="19"/>
        <v>4.9111342725054508</v>
      </c>
      <c r="D242" s="4">
        <f t="shared" si="16"/>
        <v>204.18995252640693</v>
      </c>
      <c r="E242" s="4">
        <f t="shared" si="17"/>
        <v>196.06867365818397</v>
      </c>
    </row>
    <row r="243" spans="1:6" x14ac:dyDescent="0.4">
      <c r="A243">
        <v>86.25</v>
      </c>
      <c r="B243" s="4">
        <f t="shared" si="18"/>
        <v>2.7000346837786044</v>
      </c>
      <c r="C243" s="4">
        <f t="shared" si="19"/>
        <v>4.9005383035774219</v>
      </c>
      <c r="D243" s="4">
        <f t="shared" si="16"/>
        <v>204.17266550433663</v>
      </c>
      <c r="E243" s="4">
        <f t="shared" si="17"/>
        <v>196.06890862060212</v>
      </c>
    </row>
    <row r="244" spans="1:6" x14ac:dyDescent="0.4">
      <c r="A244" s="3">
        <v>86.5</v>
      </c>
      <c r="B244" s="5">
        <f t="shared" si="18"/>
        <v>2.6985721423945637</v>
      </c>
      <c r="C244" s="5">
        <f>1/B244*(2/($B$9+1)*(1 + ($B$9-1)/2*B244^2))^(($B$9+1)/(2*$B$9-2))</f>
        <v>4.8899975814318379</v>
      </c>
      <c r="D244" s="5">
        <f t="shared" si="16"/>
        <v>204.15532397244581</v>
      </c>
      <c r="E244" s="5">
        <f t="shared" si="17"/>
        <v>196.06899771456403</v>
      </c>
      <c r="F244" s="2" t="s">
        <v>62</v>
      </c>
    </row>
    <row r="245" spans="1:6" x14ac:dyDescent="0.4">
      <c r="A245">
        <v>86.75</v>
      </c>
      <c r="B245" s="4">
        <f t="shared" si="18"/>
        <v>2.6971136130338422</v>
      </c>
      <c r="C245" s="4">
        <f t="shared" si="19"/>
        <v>4.8795116592046774</v>
      </c>
      <c r="D245" s="4">
        <f t="shared" si="16"/>
        <v>204.13792870565592</v>
      </c>
      <c r="E245" s="4">
        <f t="shared" si="17"/>
        <v>196.06894245394625</v>
      </c>
    </row>
    <row r="246" spans="1:6" x14ac:dyDescent="0.4">
      <c r="A246">
        <v>87</v>
      </c>
      <c r="B246" s="4">
        <f t="shared" si="18"/>
        <v>2.6956590726391711</v>
      </c>
      <c r="C246" s="4">
        <f t="shared" si="19"/>
        <v>4.8690800949256117</v>
      </c>
      <c r="D246" s="4">
        <f t="shared" si="16"/>
        <v>204.12048046867756</v>
      </c>
      <c r="E246" s="4">
        <f t="shared" si="17"/>
        <v>196.06874433432193</v>
      </c>
    </row>
    <row r="247" spans="1:6" x14ac:dyDescent="0.4">
      <c r="A247">
        <v>87.25</v>
      </c>
      <c r="B247" s="4">
        <f t="shared" si="18"/>
        <v>2.6942084983520229</v>
      </c>
      <c r="C247" s="4">
        <f t="shared" si="19"/>
        <v>4.8587024514504833</v>
      </c>
      <c r="D247" s="4">
        <f t="shared" si="16"/>
        <v>204.10298001616542</v>
      </c>
      <c r="E247" s="4">
        <f t="shared" si="17"/>
        <v>196.06840483322756</v>
      </c>
    </row>
    <row r="248" spans="1:6" x14ac:dyDescent="0.4">
      <c r="A248">
        <v>87.5</v>
      </c>
      <c r="B248" s="4">
        <f t="shared" si="18"/>
        <v>2.6927618675103333</v>
      </c>
      <c r="C248" s="4">
        <f t="shared" si="19"/>
        <v>4.84837829639494</v>
      </c>
      <c r="D248" s="4">
        <f t="shared" si="16"/>
        <v>204.0854280928703</v>
      </c>
      <c r="E248" s="4">
        <f t="shared" si="17"/>
        <v>196.06792541042466</v>
      </c>
    </row>
    <row r="249" spans="1:6" x14ac:dyDescent="0.4">
      <c r="A249">
        <v>87.75</v>
      </c>
      <c r="B249" s="4">
        <f t="shared" si="18"/>
        <v>2.6913191576462516</v>
      </c>
      <c r="C249" s="4">
        <f t="shared" si="19"/>
        <v>4.838107202069156</v>
      </c>
      <c r="D249" s="4">
        <f t="shared" si="16"/>
        <v>204.06782543378856</v>
      </c>
      <c r="E249" s="4">
        <f t="shared" si="17"/>
        <v>196.06730750815737</v>
      </c>
    </row>
    <row r="250" spans="1:6" x14ac:dyDescent="0.4">
      <c r="A250">
        <v>88</v>
      </c>
      <c r="B250" s="4">
        <f t="shared" si="18"/>
        <v>2.6898803464839278</v>
      </c>
      <c r="C250" s="4">
        <f t="shared" si="19"/>
        <v>4.8278887454136337</v>
      </c>
      <c r="D250" s="4">
        <f t="shared" si="16"/>
        <v>204.0501727643088</v>
      </c>
      <c r="E250" s="4">
        <f t="shared" si="17"/>
        <v>196.06655255140498</v>
      </c>
    </row>
    <row r="251" spans="1:6" x14ac:dyDescent="0.4">
      <c r="A251">
        <v>88.25</v>
      </c>
      <c r="B251" s="4">
        <f t="shared" si="18"/>
        <v>2.6884454119373267</v>
      </c>
      <c r="C251" s="4">
        <f t="shared" si="19"/>
        <v>4.8177225079360291</v>
      </c>
      <c r="D251" s="4">
        <f t="shared" si="16"/>
        <v>204.03247080035601</v>
      </c>
      <c r="E251" s="4">
        <f t="shared" si="17"/>
        <v>196.06566194813078</v>
      </c>
    </row>
    <row r="252" spans="1:6" x14ac:dyDescent="0.4">
      <c r="A252">
        <v>88.5</v>
      </c>
      <c r="B252" s="4">
        <f t="shared" si="18"/>
        <v>2.6870143321080784</v>
      </c>
      <c r="C252" s="4">
        <f t="shared" si="19"/>
        <v>4.8076080756491111</v>
      </c>
      <c r="D252" s="4">
        <f t="shared" si="16"/>
        <v>204.01472024853351</v>
      </c>
      <c r="E252" s="4">
        <f t="shared" si="17"/>
        <v>196.0646370895266</v>
      </c>
    </row>
    <row r="253" spans="1:6" x14ac:dyDescent="0.4">
      <c r="A253">
        <v>88.75</v>
      </c>
      <c r="B253" s="4">
        <f t="shared" si="18"/>
        <v>2.6855870852833545</v>
      </c>
      <c r="C253" s="4">
        <f t="shared" si="19"/>
        <v>4.7975450390096031</v>
      </c>
      <c r="D253" s="4">
        <f t="shared" si="16"/>
        <v>203.99692180626187</v>
      </c>
      <c r="E253" s="4">
        <f t="shared" si="17"/>
        <v>196.06347935025266</v>
      </c>
    </row>
    <row r="254" spans="1:6" x14ac:dyDescent="0.4">
      <c r="A254">
        <v>89</v>
      </c>
      <c r="B254" s="4">
        <f t="shared" si="18"/>
        <v>2.6841636499337773</v>
      </c>
      <c r="C254" s="4">
        <f t="shared" si="19"/>
        <v>4.7875329928581554</v>
      </c>
      <c r="D254" s="4">
        <f t="shared" si="16"/>
        <v>203.97907616191614</v>
      </c>
      <c r="E254" s="4">
        <f t="shared" si="17"/>
        <v>196.06219008867427</v>
      </c>
    </row>
    <row r="255" spans="1:6" x14ac:dyDescent="0.4">
      <c r="A255">
        <v>89.25</v>
      </c>
      <c r="B255" s="4">
        <f t="shared" si="18"/>
        <v>2.6827440047113522</v>
      </c>
      <c r="C255" s="4">
        <f t="shared" si="19"/>
        <v>4.7775715363601581</v>
      </c>
      <c r="D255" s="4">
        <f t="shared" si="16"/>
        <v>203.9611839949597</v>
      </c>
      <c r="E255" s="4">
        <f t="shared" si="17"/>
        <v>196.06077064709348</v>
      </c>
    </row>
    <row r="256" spans="1:6" x14ac:dyDescent="0.4">
      <c r="A256">
        <v>89.5</v>
      </c>
      <c r="B256" s="4">
        <f t="shared" si="18"/>
        <v>2.6813281284474426</v>
      </c>
      <c r="C256" s="4">
        <f t="shared" si="19"/>
        <v>4.7676602729476771</v>
      </c>
      <c r="D256" s="4">
        <f t="shared" si="16"/>
        <v>203.94324597607712</v>
      </c>
      <c r="E256" s="4">
        <f t="shared" si="17"/>
        <v>196.05922235197795</v>
      </c>
    </row>
    <row r="257" spans="1:5" x14ac:dyDescent="0.4">
      <c r="A257">
        <v>89.75</v>
      </c>
      <c r="B257" s="4">
        <f t="shared" si="18"/>
        <v>2.6799160001507563</v>
      </c>
      <c r="C257" s="4">
        <f t="shared" si="19"/>
        <v>4.7577988102621864</v>
      </c>
      <c r="D257" s="4">
        <f t="shared" si="16"/>
        <v>203.92526276730342</v>
      </c>
      <c r="E257" s="4">
        <f t="shared" si="17"/>
        <v>196.05754651418485</v>
      </c>
    </row>
    <row r="258" spans="1:5" x14ac:dyDescent="0.4">
      <c r="A258">
        <v>90</v>
      </c>
      <c r="B258" s="4">
        <f t="shared" si="18"/>
        <v>2.6785075990053731</v>
      </c>
      <c r="C258" s="4">
        <f t="shared" si="19"/>
        <v>4.7479867600983159</v>
      </c>
      <c r="D258" s="4">
        <f t="shared" si="16"/>
        <v>203.90723502215218</v>
      </c>
      <c r="E258" s="4">
        <f t="shared" si="17"/>
        <v>196.05574442918225</v>
      </c>
    </row>
    <row r="259" spans="1:5" x14ac:dyDescent="0.4">
      <c r="A259">
        <v>90.25</v>
      </c>
      <c r="B259" s="4">
        <f t="shared" si="18"/>
        <v>2.6771029043687906</v>
      </c>
      <c r="C259" s="4">
        <f t="shared" si="19"/>
        <v>4.7382237383484282</v>
      </c>
      <c r="D259" s="4">
        <f t="shared" si="16"/>
        <v>203.88916338574055</v>
      </c>
      <c r="E259" s="4">
        <f t="shared" si="17"/>
        <v>196.05381737726529</v>
      </c>
    </row>
    <row r="260" spans="1:5" x14ac:dyDescent="0.4">
      <c r="A260">
        <v>90.5</v>
      </c>
      <c r="B260" s="4">
        <f t="shared" si="18"/>
        <v>2.6757018957700063</v>
      </c>
      <c r="C260" s="4">
        <f t="shared" si="19"/>
        <v>4.7285093649481889</v>
      </c>
      <c r="D260" s="4">
        <f t="shared" si="16"/>
        <v>203.871048494913</v>
      </c>
      <c r="E260" s="4">
        <f t="shared" si="17"/>
        <v>196.05176662377056</v>
      </c>
    </row>
    <row r="261" spans="1:5" x14ac:dyDescent="0.4">
      <c r="A261">
        <v>90.75</v>
      </c>
      <c r="B261" s="4">
        <f t="shared" si="18"/>
        <v>2.6743045529076168</v>
      </c>
      <c r="C261" s="4">
        <f t="shared" si="19"/>
        <v>4.7188432638229019</v>
      </c>
      <c r="D261" s="4">
        <f t="shared" si="16"/>
        <v>203.85289097836213</v>
      </c>
      <c r="E261" s="4">
        <f t="shared" si="17"/>
        <v>196.04959341928509</v>
      </c>
    </row>
    <row r="262" spans="1:5" x14ac:dyDescent="0.4">
      <c r="A262">
        <v>91</v>
      </c>
      <c r="B262" s="4">
        <f t="shared" si="18"/>
        <v>2.6729108556479515</v>
      </c>
      <c r="C262" s="4">
        <f t="shared" si="19"/>
        <v>4.7092250628347943</v>
      </c>
      <c r="D262" s="4">
        <f t="shared" si="16"/>
        <v>203.83469145674823</v>
      </c>
      <c r="E262" s="4">
        <f t="shared" si="17"/>
        <v>196.0472989998535</v>
      </c>
    </row>
    <row r="263" spans="1:5" x14ac:dyDescent="0.4">
      <c r="A263">
        <v>91.25</v>
      </c>
      <c r="B263" s="4">
        <f t="shared" si="18"/>
        <v>2.6715207840232242</v>
      </c>
      <c r="C263" s="4">
        <f t="shared" si="19"/>
        <v>4.6996543937310689</v>
      </c>
      <c r="D263" s="4">
        <f t="shared" si="16"/>
        <v>203.8164505428162</v>
      </c>
      <c r="E263" s="4">
        <f t="shared" si="17"/>
        <v>196.04488458718041</v>
      </c>
    </row>
    <row r="264" spans="1:5" x14ac:dyDescent="0.4">
      <c r="A264">
        <v>91.5</v>
      </c>
      <c r="B264" s="4">
        <f t="shared" si="18"/>
        <v>2.6701343182297181</v>
      </c>
      <c r="C264" s="4">
        <f t="shared" si="19"/>
        <v>4.6901308920928164</v>
      </c>
      <c r="D264" s="4">
        <f t="shared" si="16"/>
        <v>203.79816884151057</v>
      </c>
      <c r="E264" s="4">
        <f t="shared" si="17"/>
        <v>196.0423513888305</v>
      </c>
    </row>
    <row r="265" spans="1:5" x14ac:dyDescent="0.4">
      <c r="A265">
        <v>91.75</v>
      </c>
      <c r="B265" s="4">
        <f t="shared" si="18"/>
        <v>2.6687514386259865</v>
      </c>
      <c r="C265" s="4">
        <f t="shared" si="19"/>
        <v>4.6806541972847242</v>
      </c>
      <c r="D265" s="4">
        <f t="shared" si="16"/>
        <v>203.77984695008917</v>
      </c>
      <c r="E265" s="4">
        <f t="shared" si="17"/>
        <v>196.03970059842464</v>
      </c>
    </row>
    <row r="266" spans="1:5" x14ac:dyDescent="0.4">
      <c r="A266">
        <v>92</v>
      </c>
      <c r="B266" s="4">
        <f t="shared" si="18"/>
        <v>2.6673721257310872</v>
      </c>
      <c r="C266" s="4">
        <f t="shared" si="19"/>
        <v>4.6712239524056161</v>
      </c>
      <c r="D266" s="4">
        <f t="shared" si="16"/>
        <v>203.76148545823386</v>
      </c>
      <c r="E266" s="4">
        <f t="shared" si="17"/>
        <v>196.03693339583319</v>
      </c>
    </row>
    <row r="267" spans="1:5" x14ac:dyDescent="0.4">
      <c r="A267">
        <v>92.25</v>
      </c>
      <c r="B267" s="4">
        <f t="shared" si="18"/>
        <v>2.6659963602228358</v>
      </c>
      <c r="C267" s="4">
        <f t="shared" si="19"/>
        <v>4.6618398042397233</v>
      </c>
      <c r="D267" s="4">
        <f t="shared" si="16"/>
        <v>203.74308494816069</v>
      </c>
      <c r="E267" s="4">
        <f t="shared" si="17"/>
        <v>196.03405094736596</v>
      </c>
    </row>
    <row r="268" spans="1:5" x14ac:dyDescent="0.4">
      <c r="A268">
        <v>92.5</v>
      </c>
      <c r="B268" s="4">
        <f t="shared" si="18"/>
        <v>2.6646241229360821</v>
      </c>
      <c r="C268" s="4">
        <f t="shared" si="19"/>
        <v>4.6525014032087419</v>
      </c>
      <c r="D268" s="4">
        <f t="shared" si="16"/>
        <v>203.72464599472684</v>
      </c>
      <c r="E268" s="4">
        <f t="shared" si="17"/>
        <v>196.03105440595908</v>
      </c>
    </row>
    <row r="269" spans="1:5" x14ac:dyDescent="0.4">
      <c r="A269">
        <v>92.75</v>
      </c>
      <c r="B269" s="4">
        <f t="shared" si="18"/>
        <v>2.6632553948610131</v>
      </c>
      <c r="C269" s="4">
        <f t="shared" si="19"/>
        <v>4.6432084033246408</v>
      </c>
      <c r="D269" s="4">
        <f t="shared" si="16"/>
        <v>203.70616916553678</v>
      </c>
      <c r="E269" s="4">
        <f t="shared" si="17"/>
        <v>196.0279449113589</v>
      </c>
    </row>
    <row r="270" spans="1:5" x14ac:dyDescent="0.4">
      <c r="A270">
        <v>93</v>
      </c>
      <c r="B270" s="4">
        <f t="shared" si="18"/>
        <v>2.6618901571414759</v>
      </c>
      <c r="C270" s="4">
        <f t="shared" si="19"/>
        <v>4.6339604621432136</v>
      </c>
      <c r="D270" s="4">
        <f t="shared" si="16"/>
        <v>203.68765502104648</v>
      </c>
      <c r="E270" s="4">
        <f t="shared" si="17"/>
        <v>196.02472359030284</v>
      </c>
    </row>
    <row r="271" spans="1:5" x14ac:dyDescent="0.4">
      <c r="A271">
        <v>93.25</v>
      </c>
      <c r="B271" s="4">
        <f t="shared" si="18"/>
        <v>2.6605283910733237</v>
      </c>
      <c r="C271" s="4">
        <f t="shared" si="19"/>
        <v>4.6247572407183357</v>
      </c>
      <c r="D271" s="4">
        <f t="shared" ref="D271:D318" si="20">$B$6*$B$12/9.81*($B$9*SQRT(2/($B$9-1)*(2/($B$9+1))^(($B$9+1)/($B$9-1))*(1 - (A271/$B$3)^(($B$9-1)/$B$9))) + C271/$B$3*(A271 - $E$5))</f>
        <v>203.66910411466543</v>
      </c>
      <c r="E271" s="4">
        <f t="shared" ref="E271:E318" si="21">$B$6*$B$12/9.81*($B$9*SQRT(2/($B$9-1)*(2/($B$9+1))^(($B$9+1)/($B$9-1))*(1 - (A271/$B$3)^(($B$9-1)/$B$9))) + C271/$B$3*(A271 - $E$4))</f>
        <v>196.02139155669744</v>
      </c>
    </row>
    <row r="272" spans="1:5" x14ac:dyDescent="0.4">
      <c r="A272">
        <v>93.5</v>
      </c>
      <c r="B272" s="4">
        <f t="shared" ref="B272:B318" si="22">SQRT(2/($B$9-1)*((A272/$B$3)^((1-$B$9)/$B$9) - 1))</f>
        <v>2.6591700781027878</v>
      </c>
      <c r="C272" s="4">
        <f t="shared" ref="C272:C318" si="23">1/B272*(2/($B$9+1)*(1 + ($B$9-1)/2*B272^2))^(($B$9+1)/(2*$B$9-2))</f>
        <v>4.6155984035569881</v>
      </c>
      <c r="D272" s="4">
        <f t="shared" si="20"/>
        <v>203.65051699285755</v>
      </c>
      <c r="E272" s="4">
        <f t="shared" si="21"/>
        <v>196.01794991179338</v>
      </c>
    </row>
    <row r="273" spans="1:5" x14ac:dyDescent="0.4">
      <c r="A273">
        <v>93.75</v>
      </c>
      <c r="B273" s="4">
        <f t="shared" si="22"/>
        <v>2.6578151998248645</v>
      </c>
      <c r="C273" s="4">
        <f t="shared" si="23"/>
        <v>4.6064836185748668</v>
      </c>
      <c r="D273" s="4">
        <f t="shared" si="20"/>
        <v>203.63189419523988</v>
      </c>
      <c r="E273" s="4">
        <f t="shared" si="21"/>
        <v>196.01439974435775</v>
      </c>
    </row>
    <row r="274" spans="1:5" x14ac:dyDescent="0.4">
      <c r="A274">
        <v>94</v>
      </c>
      <c r="B274" s="4">
        <f t="shared" si="22"/>
        <v>2.65646373798173</v>
      </c>
      <c r="C274" s="4">
        <f t="shared" si="23"/>
        <v>4.5974125570528113</v>
      </c>
      <c r="D274" s="4">
        <f t="shared" si="20"/>
        <v>203.6132362546804</v>
      </c>
      <c r="E274" s="4">
        <f t="shared" si="21"/>
        <v>196.01074213084365</v>
      </c>
    </row>
    <row r="275" spans="1:5" x14ac:dyDescent="0.4">
      <c r="A275">
        <v>94.25</v>
      </c>
      <c r="B275" s="4">
        <f t="shared" si="22"/>
        <v>2.6551156744611721</v>
      </c>
      <c r="C275" s="4">
        <f t="shared" si="23"/>
        <v>4.5883848935938092</v>
      </c>
      <c r="D275" s="4">
        <f t="shared" si="20"/>
        <v>203.59454369739322</v>
      </c>
      <c r="E275" s="4">
        <f t="shared" si="21"/>
        <v>196.00697813555684</v>
      </c>
    </row>
    <row r="276" spans="1:5" x14ac:dyDescent="0.4">
      <c r="A276">
        <v>94.5</v>
      </c>
      <c r="B276" s="4">
        <f t="shared" si="22"/>
        <v>2.6537709912950458</v>
      </c>
      <c r="C276" s="4">
        <f t="shared" si="23"/>
        <v>4.5794003060807187</v>
      </c>
      <c r="D276" s="4">
        <f t="shared" si="20"/>
        <v>203.57581704303328</v>
      </c>
      <c r="E276" s="4">
        <f t="shared" si="21"/>
        <v>196.00310881081995</v>
      </c>
    </row>
    <row r="277" spans="1:5" x14ac:dyDescent="0.4">
      <c r="A277">
        <v>94.75</v>
      </c>
      <c r="B277" s="4">
        <f t="shared" si="22"/>
        <v>2.652429670657745</v>
      </c>
      <c r="C277" s="4">
        <f t="shared" si="23"/>
        <v>4.5704584756345819</v>
      </c>
      <c r="D277" s="4">
        <f t="shared" si="20"/>
        <v>203.5570568047886</v>
      </c>
      <c r="E277" s="4">
        <f t="shared" si="21"/>
        <v>195.99913519713405</v>
      </c>
    </row>
    <row r="278" spans="1:5" x14ac:dyDescent="0.4">
      <c r="A278">
        <v>95</v>
      </c>
      <c r="B278" s="4">
        <f t="shared" si="22"/>
        <v>2.6510916948647001</v>
      </c>
      <c r="C278" s="4">
        <f t="shared" si="23"/>
        <v>4.5615590865736335</v>
      </c>
      <c r="D278" s="4">
        <f t="shared" si="20"/>
        <v>203.53826348947155</v>
      </c>
      <c r="E278" s="4">
        <f t="shared" si="21"/>
        <v>195.99505832333753</v>
      </c>
    </row>
    <row r="279" spans="1:5" x14ac:dyDescent="0.4">
      <c r="A279">
        <v>95.25</v>
      </c>
      <c r="B279" s="4">
        <f t="shared" si="22"/>
        <v>2.6497570463708917</v>
      </c>
      <c r="C279" s="4">
        <f t="shared" si="23"/>
        <v>4.5527018263729282</v>
      </c>
      <c r="D279" s="4">
        <f t="shared" si="20"/>
        <v>203.51943759760871</v>
      </c>
      <c r="E279" s="4">
        <f t="shared" si="21"/>
        <v>195.99087920676263</v>
      </c>
    </row>
    <row r="280" spans="1:5" x14ac:dyDescent="0.4">
      <c r="A280">
        <v>95.5</v>
      </c>
      <c r="B280" s="4">
        <f t="shared" si="22"/>
        <v>2.648425707769384</v>
      </c>
      <c r="C280" s="4">
        <f t="shared" si="23"/>
        <v>4.5438863856245399</v>
      </c>
      <c r="D280" s="4">
        <f t="shared" si="20"/>
        <v>203.50057962352864</v>
      </c>
      <c r="E280" s="4">
        <f t="shared" si="21"/>
        <v>195.98659885338921</v>
      </c>
    </row>
    <row r="281" spans="1:5" x14ac:dyDescent="0.4">
      <c r="A281">
        <v>95.75</v>
      </c>
      <c r="B281" s="4">
        <f t="shared" si="22"/>
        <v>2.6470976617898798</v>
      </c>
      <c r="C281" s="4">
        <f t="shared" si="23"/>
        <v>4.5351124579984061</v>
      </c>
      <c r="D281" s="4">
        <f t="shared" si="20"/>
        <v>203.48169005544904</v>
      </c>
      <c r="E281" s="4">
        <f t="shared" si="21"/>
        <v>195.98221825799649</v>
      </c>
    </row>
    <row r="282" spans="1:5" x14ac:dyDescent="0.4">
      <c r="A282">
        <v>96</v>
      </c>
      <c r="B282" s="4">
        <f t="shared" si="22"/>
        <v>2.6457728912972893</v>
      </c>
      <c r="C282" s="4">
        <f t="shared" si="23"/>
        <v>4.5263797402037307</v>
      </c>
      <c r="D282" s="4">
        <f t="shared" si="20"/>
        <v>203.46276937556186</v>
      </c>
      <c r="E282" s="4">
        <f t="shared" si="21"/>
        <v>195.97773840431216</v>
      </c>
    </row>
    <row r="283" spans="1:5" x14ac:dyDescent="0.4">
      <c r="A283">
        <v>96.25</v>
      </c>
      <c r="B283" s="4">
        <f t="shared" si="22"/>
        <v>2.6444513792903241</v>
      </c>
      <c r="C283" s="4">
        <f t="shared" si="23"/>
        <v>4.5176879319510288</v>
      </c>
      <c r="D283" s="4">
        <f t="shared" si="20"/>
        <v>203.44381806011737</v>
      </c>
      <c r="E283" s="4">
        <f t="shared" si="21"/>
        <v>195.97316026515904</v>
      </c>
    </row>
    <row r="284" spans="1:5" x14ac:dyDescent="0.4">
      <c r="A284">
        <v>96.5</v>
      </c>
      <c r="B284" s="4">
        <f t="shared" si="22"/>
        <v>2.6431331089001047</v>
      </c>
      <c r="C284" s="4">
        <f t="shared" si="23"/>
        <v>4.5090367359146661</v>
      </c>
      <c r="D284" s="4">
        <f t="shared" si="20"/>
        <v>203.42483657950689</v>
      </c>
      <c r="E284" s="4">
        <f t="shared" si="21"/>
        <v>195.96848480259987</v>
      </c>
    </row>
    <row r="285" spans="1:5" x14ac:dyDescent="0.4">
      <c r="A285">
        <v>96.75</v>
      </c>
      <c r="B285" s="4">
        <f t="shared" si="22"/>
        <v>2.6418180633887882</v>
      </c>
      <c r="C285" s="4">
        <f t="shared" si="23"/>
        <v>4.5004258576960323</v>
      </c>
      <c r="D285" s="4">
        <f t="shared" si="20"/>
        <v>203.40582539834375</v>
      </c>
      <c r="E285" s="4">
        <f t="shared" si="21"/>
        <v>195.96371296807919</v>
      </c>
    </row>
    <row r="286" spans="1:5" x14ac:dyDescent="0.4">
      <c r="A286">
        <v>97</v>
      </c>
      <c r="B286" s="4">
        <f t="shared" si="22"/>
        <v>2.6405062261482124</v>
      </c>
      <c r="C286" s="4">
        <f t="shared" si="23"/>
        <v>4.4918550057872082</v>
      </c>
      <c r="D286" s="4">
        <f t="shared" si="20"/>
        <v>203.38678497554389</v>
      </c>
      <c r="E286" s="4">
        <f t="shared" si="21"/>
        <v>195.95884570256391</v>
      </c>
    </row>
    <row r="287" spans="1:5" x14ac:dyDescent="0.4">
      <c r="A287">
        <v>97.25</v>
      </c>
      <c r="B287" s="4">
        <f t="shared" si="22"/>
        <v>2.6391975806985588</v>
      </c>
      <c r="C287" s="4">
        <f t="shared" si="23"/>
        <v>4.4833238915352105</v>
      </c>
      <c r="D287" s="4">
        <f t="shared" si="20"/>
        <v>203.36771576440395</v>
      </c>
      <c r="E287" s="4">
        <f t="shared" si="21"/>
        <v>195.95388393668054</v>
      </c>
    </row>
    <row r="288" spans="1:5" x14ac:dyDescent="0.4">
      <c r="A288">
        <v>97.5</v>
      </c>
      <c r="B288" s="4">
        <f t="shared" si="22"/>
        <v>2.6378921106870328</v>
      </c>
      <c r="C288" s="4">
        <f t="shared" si="23"/>
        <v>4.4748322291067861</v>
      </c>
      <c r="D288" s="4">
        <f t="shared" si="20"/>
        <v>203.34861821267921</v>
      </c>
      <c r="E288" s="4">
        <f t="shared" si="21"/>
        <v>195.94882859085152</v>
      </c>
    </row>
    <row r="289" spans="1:5" x14ac:dyDescent="0.4">
      <c r="A289">
        <v>97.75</v>
      </c>
      <c r="B289" s="4">
        <f t="shared" si="22"/>
        <v>2.6365897998865577</v>
      </c>
      <c r="C289" s="4">
        <f t="shared" si="23"/>
        <v>4.4663797354536534</v>
      </c>
      <c r="D289" s="4">
        <f t="shared" si="20"/>
        <v>203.32949276265953</v>
      </c>
      <c r="E289" s="4">
        <f t="shared" si="21"/>
        <v>195.94368057542843</v>
      </c>
    </row>
    <row r="290" spans="1:5" x14ac:dyDescent="0.4">
      <c r="A290">
        <v>98</v>
      </c>
      <c r="B290" s="4">
        <f t="shared" si="22"/>
        <v>2.6352906321944909</v>
      </c>
      <c r="C290" s="4">
        <f t="shared" si="23"/>
        <v>4.4579661302783551</v>
      </c>
      <c r="D290" s="4">
        <f t="shared" si="20"/>
        <v>203.31033985124458</v>
      </c>
      <c r="E290" s="4">
        <f t="shared" si="21"/>
        <v>195.93844079082379</v>
      </c>
    </row>
    <row r="291" spans="1:5" x14ac:dyDescent="0.4">
      <c r="A291">
        <v>98.25</v>
      </c>
      <c r="B291" s="4">
        <f t="shared" si="22"/>
        <v>2.6339945916313523</v>
      </c>
      <c r="C291" s="4">
        <f t="shared" si="23"/>
        <v>4.4495911360005618</v>
      </c>
      <c r="D291" s="4">
        <f t="shared" si="20"/>
        <v>203.29115991001765</v>
      </c>
      <c r="E291" s="4">
        <f t="shared" si="21"/>
        <v>195.93311012764053</v>
      </c>
    </row>
    <row r="292" spans="1:5" x14ac:dyDescent="0.4">
      <c r="A292">
        <v>98.5</v>
      </c>
      <c r="B292" s="4">
        <f t="shared" si="22"/>
        <v>2.632701662339568</v>
      </c>
      <c r="C292" s="4">
        <f t="shared" si="23"/>
        <v>4.4412544777238656</v>
      </c>
      <c r="D292" s="4">
        <f t="shared" si="20"/>
        <v>203.27195336531818</v>
      </c>
      <c r="E292" s="4">
        <f t="shared" si="21"/>
        <v>195.92768946679954</v>
      </c>
    </row>
    <row r="293" spans="1:5" x14ac:dyDescent="0.4">
      <c r="A293">
        <v>98.75</v>
      </c>
      <c r="B293" s="4">
        <f t="shared" si="22"/>
        <v>2.6314118285822365</v>
      </c>
      <c r="C293" s="4">
        <f t="shared" si="23"/>
        <v>4.4329558832030989</v>
      </c>
      <c r="D293" s="4">
        <f t="shared" si="20"/>
        <v>203.25272063831349</v>
      </c>
      <c r="E293" s="4">
        <f t="shared" si="21"/>
        <v>195.92217967966531</v>
      </c>
    </row>
    <row r="294" spans="1:5" x14ac:dyDescent="0.4">
      <c r="A294">
        <v>99</v>
      </c>
      <c r="B294" s="4">
        <f t="shared" si="22"/>
        <v>2.630125074741902</v>
      </c>
      <c r="C294" s="4">
        <f t="shared" si="23"/>
        <v>4.4246950828121223</v>
      </c>
      <c r="D294" s="4">
        <f t="shared" si="20"/>
        <v>203.23346214506918</v>
      </c>
      <c r="E294" s="4">
        <f t="shared" si="21"/>
        <v>195.91658162816972</v>
      </c>
    </row>
    <row r="295" spans="1:5" x14ac:dyDescent="0.4">
      <c r="A295">
        <v>99.25</v>
      </c>
      <c r="B295" s="4">
        <f t="shared" si="22"/>
        <v>2.628841385319348</v>
      </c>
      <c r="C295" s="4">
        <f t="shared" si="23"/>
        <v>4.4164718095120312</v>
      </c>
      <c r="D295" s="4">
        <f t="shared" si="20"/>
        <v>203.21417829661806</v>
      </c>
      <c r="E295" s="4">
        <f t="shared" si="21"/>
        <v>195.91089616493352</v>
      </c>
    </row>
    <row r="296" spans="1:5" x14ac:dyDescent="0.4">
      <c r="A296">
        <v>99.5</v>
      </c>
      <c r="B296" s="4">
        <f t="shared" si="22"/>
        <v>2.6275607449324081</v>
      </c>
      <c r="C296" s="4">
        <f t="shared" si="23"/>
        <v>4.4082857988199349</v>
      </c>
      <c r="D296" s="4">
        <f t="shared" si="20"/>
        <v>203.19486949902904</v>
      </c>
      <c r="E296" s="4">
        <f t="shared" si="21"/>
        <v>195.90512413338672</v>
      </c>
    </row>
    <row r="297" spans="1:5" x14ac:dyDescent="0.4">
      <c r="A297">
        <v>99.75</v>
      </c>
      <c r="B297" s="4">
        <f t="shared" si="22"/>
        <v>2.6262831383147853</v>
      </c>
      <c r="C297" s="4">
        <f t="shared" si="23"/>
        <v>4.40013678877808</v>
      </c>
      <c r="D297" s="4">
        <f t="shared" si="20"/>
        <v>203.17553615347367</v>
      </c>
      <c r="E297" s="4">
        <f t="shared" si="21"/>
        <v>195.89926636788636</v>
      </c>
    </row>
    <row r="298" spans="1:5" x14ac:dyDescent="0.4">
      <c r="A298">
        <v>100</v>
      </c>
      <c r="B298" s="4">
        <f t="shared" si="22"/>
        <v>2.6250085503148934</v>
      </c>
      <c r="C298" s="4">
        <f t="shared" si="23"/>
        <v>4.3920245199234875</v>
      </c>
      <c r="D298" s="4">
        <f t="shared" si="20"/>
        <v>203.1561786562927</v>
      </c>
      <c r="E298" s="4">
        <f t="shared" si="21"/>
        <v>195.89332369383308</v>
      </c>
    </row>
    <row r="299" spans="1:5" x14ac:dyDescent="0.4">
      <c r="A299">
        <v>100.25</v>
      </c>
      <c r="B299" s="4">
        <f t="shared" si="22"/>
        <v>2.6237369658947052</v>
      </c>
      <c r="C299" s="4">
        <f t="shared" si="23"/>
        <v>4.383948735258012</v>
      </c>
      <c r="D299" s="4">
        <f t="shared" si="20"/>
        <v>203.1367973990607</v>
      </c>
      <c r="E299" s="4">
        <f t="shared" si="21"/>
        <v>195.88729692778557</v>
      </c>
    </row>
    <row r="300" spans="1:5" x14ac:dyDescent="0.4">
      <c r="A300">
        <v>100.5</v>
      </c>
      <c r="B300" s="4">
        <f t="shared" si="22"/>
        <v>2.6224683701286229</v>
      </c>
      <c r="C300" s="4">
        <f t="shared" si="23"/>
        <v>4.3759091802188372</v>
      </c>
      <c r="D300" s="4">
        <f t="shared" si="20"/>
        <v>203.11739276865066</v>
      </c>
      <c r="E300" s="4">
        <f t="shared" si="21"/>
        <v>195.88118687757361</v>
      </c>
    </row>
    <row r="301" spans="1:5" x14ac:dyDescent="0.4">
      <c r="A301">
        <v>100.75</v>
      </c>
      <c r="B301" s="4">
        <f t="shared" si="22"/>
        <v>2.6212027482023585</v>
      </c>
      <c r="C301" s="4">
        <f t="shared" si="23"/>
        <v>4.367905602649409</v>
      </c>
      <c r="D301" s="4">
        <f t="shared" si="20"/>
        <v>203.09796514729669</v>
      </c>
      <c r="E301" s="4">
        <f t="shared" si="21"/>
        <v>195.87499434240917</v>
      </c>
    </row>
    <row r="302" spans="1:5" x14ac:dyDescent="0.4">
      <c r="A302">
        <v>101</v>
      </c>
      <c r="B302" s="4">
        <f t="shared" si="22"/>
        <v>2.619940085411824</v>
      </c>
      <c r="C302" s="4">
        <f t="shared" si="23"/>
        <v>4.3599377527707173</v>
      </c>
      <c r="D302" s="4">
        <f t="shared" si="20"/>
        <v>203.07851491265617</v>
      </c>
      <c r="E302" s="4">
        <f t="shared" si="21"/>
        <v>195.86872011299565</v>
      </c>
    </row>
    <row r="303" spans="1:5" x14ac:dyDescent="0.4">
      <c r="A303">
        <v>101.25</v>
      </c>
      <c r="B303" s="4">
        <f t="shared" si="22"/>
        <v>2.6186803671620469</v>
      </c>
      <c r="C303" s="4">
        <f t="shared" si="23"/>
        <v>4.3520053831531218</v>
      </c>
      <c r="D303" s="4">
        <f t="shared" si="20"/>
        <v>203.05904243787126</v>
      </c>
      <c r="E303" s="4">
        <f t="shared" si="21"/>
        <v>195.86236497163634</v>
      </c>
    </row>
    <row r="304" spans="1:5" x14ac:dyDescent="0.4">
      <c r="A304">
        <v>101.5</v>
      </c>
      <c r="B304" s="4">
        <f t="shared" si="22"/>
        <v>2.6174235789660871</v>
      </c>
      <c r="C304" s="4">
        <f t="shared" si="23"/>
        <v>4.3441082486884648</v>
      </c>
      <c r="D304" s="4">
        <f t="shared" si="20"/>
        <v>203.03954809162855</v>
      </c>
      <c r="E304" s="4">
        <f t="shared" si="21"/>
        <v>195.85592969234</v>
      </c>
    </row>
    <row r="305" spans="1:5" x14ac:dyDescent="0.4">
      <c r="A305">
        <v>101.75</v>
      </c>
      <c r="B305" s="4">
        <f t="shared" si="22"/>
        <v>2.616169706443972</v>
      </c>
      <c r="C305" s="4">
        <f t="shared" si="23"/>
        <v>4.3362461065626086</v>
      </c>
      <c r="D305" s="4">
        <f t="shared" si="20"/>
        <v>203.02003223821879</v>
      </c>
      <c r="E305" s="4">
        <f t="shared" si="21"/>
        <v>195.84941504092609</v>
      </c>
    </row>
    <row r="306" spans="1:5" x14ac:dyDescent="0.4">
      <c r="A306">
        <v>102</v>
      </c>
      <c r="B306" s="4">
        <f t="shared" si="22"/>
        <v>2.6149187353216465</v>
      </c>
      <c r="C306" s="4">
        <f t="shared" si="23"/>
        <v>4.3284187162284029</v>
      </c>
      <c r="D306" s="4">
        <f t="shared" si="20"/>
        <v>203.000495237595</v>
      </c>
      <c r="E306" s="4">
        <f t="shared" si="21"/>
        <v>195.84282177512756</v>
      </c>
    </row>
    <row r="307" spans="1:5" x14ac:dyDescent="0.4">
      <c r="A307">
        <v>102.25</v>
      </c>
      <c r="B307" s="4">
        <f t="shared" si="22"/>
        <v>2.6136706514299366</v>
      </c>
      <c r="C307" s="4">
        <f t="shared" si="23"/>
        <v>4.3206258393790344</v>
      </c>
      <c r="D307" s="4">
        <f t="shared" si="20"/>
        <v>202.98093744543036</v>
      </c>
      <c r="E307" s="4">
        <f t="shared" si="21"/>
        <v>195.83615064469276</v>
      </c>
    </row>
    <row r="308" spans="1:5" x14ac:dyDescent="0.4">
      <c r="A308">
        <v>102.5</v>
      </c>
      <c r="B308" s="4">
        <f t="shared" si="22"/>
        <v>2.612425440703515</v>
      </c>
      <c r="C308" s="4">
        <f t="shared" si="23"/>
        <v>4.3128672399216468</v>
      </c>
      <c r="D308" s="4">
        <f t="shared" si="20"/>
        <v>202.96135921317423</v>
      </c>
      <c r="E308" s="4">
        <f t="shared" si="21"/>
        <v>195.82940239148505</v>
      </c>
    </row>
    <row r="309" spans="1:5" x14ac:dyDescent="0.4">
      <c r="A309">
        <v>102.75</v>
      </c>
      <c r="B309" s="4">
        <f t="shared" si="22"/>
        <v>2.6111830891798977</v>
      </c>
      <c r="C309" s="4">
        <f t="shared" si="23"/>
        <v>4.3051426839515399</v>
      </c>
      <c r="D309" s="4">
        <f t="shared" si="20"/>
        <v>202.94176088810858</v>
      </c>
      <c r="E309" s="4">
        <f t="shared" si="21"/>
        <v>195.82257774958208</v>
      </c>
    </row>
    <row r="310" spans="1:5" x14ac:dyDescent="0.4">
      <c r="A310">
        <v>103</v>
      </c>
      <c r="B310" s="4">
        <f t="shared" si="22"/>
        <v>2.6099435829984348</v>
      </c>
      <c r="C310" s="4">
        <f t="shared" si="23"/>
        <v>4.2974519397265043</v>
      </c>
      <c r="D310" s="4">
        <f t="shared" si="20"/>
        <v>202.92214281340213</v>
      </c>
      <c r="E310" s="4">
        <f t="shared" si="21"/>
        <v>195.81567744537224</v>
      </c>
    </row>
    <row r="311" spans="1:5" x14ac:dyDescent="0.4">
      <c r="A311">
        <v>103.25</v>
      </c>
      <c r="B311" s="4">
        <f t="shared" si="22"/>
        <v>2.6087069083993266</v>
      </c>
      <c r="C311" s="4">
        <f t="shared" si="23"/>
        <v>4.289794777641692</v>
      </c>
      <c r="D311" s="4">
        <f t="shared" si="20"/>
        <v>202.90250532816523</v>
      </c>
      <c r="E311" s="4">
        <f t="shared" si="21"/>
        <v>195.80870219765103</v>
      </c>
    </row>
    <row r="312" spans="1:5" x14ac:dyDescent="0.4">
      <c r="A312">
        <v>103.5</v>
      </c>
      <c r="B312" s="4">
        <f t="shared" si="22"/>
        <v>2.6074730517226405</v>
      </c>
      <c r="C312" s="4">
        <f t="shared" si="23"/>
        <v>4.2821709702047288</v>
      </c>
      <c r="D312" s="4">
        <f t="shared" si="20"/>
        <v>202.88284876750251</v>
      </c>
      <c r="E312" s="4">
        <f t="shared" si="21"/>
        <v>195.80165271771503</v>
      </c>
    </row>
    <row r="313" spans="1:5" x14ac:dyDescent="0.4">
      <c r="A313">
        <v>103.75</v>
      </c>
      <c r="B313" s="4">
        <f t="shared" si="22"/>
        <v>2.606241999407354</v>
      </c>
      <c r="C313" s="4">
        <f t="shared" si="23"/>
        <v>4.2745802920112723</v>
      </c>
      <c r="D313" s="4">
        <f t="shared" si="20"/>
        <v>202.86317346256584</v>
      </c>
      <c r="E313" s="4">
        <f t="shared" si="21"/>
        <v>195.79452970945513</v>
      </c>
    </row>
    <row r="314" spans="1:5" x14ac:dyDescent="0.4">
      <c r="A314">
        <v>104</v>
      </c>
      <c r="B314" s="4">
        <f t="shared" si="22"/>
        <v>2.6050137379903933</v>
      </c>
      <c r="C314" s="4">
        <f t="shared" si="23"/>
        <v>4.2670225197208058</v>
      </c>
      <c r="D314" s="4">
        <f t="shared" si="20"/>
        <v>202.84347974060549</v>
      </c>
      <c r="E314" s="4">
        <f t="shared" si="21"/>
        <v>195.78733386944785</v>
      </c>
    </row>
    <row r="315" spans="1:5" x14ac:dyDescent="0.4">
      <c r="A315">
        <v>104.25</v>
      </c>
      <c r="B315" s="4">
        <f t="shared" si="22"/>
        <v>2.6037882541056958</v>
      </c>
      <c r="C315" s="4">
        <f t="shared" si="23"/>
        <v>4.2594974320328642</v>
      </c>
      <c r="D315" s="4">
        <f t="shared" si="20"/>
        <v>202.82376792502146</v>
      </c>
      <c r="E315" s="4">
        <f t="shared" si="21"/>
        <v>195.78006588704588</v>
      </c>
    </row>
    <row r="316" spans="1:5" x14ac:dyDescent="0.4">
      <c r="A316">
        <v>104.5</v>
      </c>
      <c r="B316" s="4">
        <f t="shared" si="22"/>
        <v>2.6025655344832757</v>
      </c>
      <c r="C316" s="4">
        <f t="shared" si="23"/>
        <v>4.2520048096634984</v>
      </c>
      <c r="D316" s="4">
        <f t="shared" si="20"/>
        <v>202.80403833541328</v>
      </c>
      <c r="E316" s="4">
        <f t="shared" si="21"/>
        <v>195.77272644446674</v>
      </c>
    </row>
    <row r="317" spans="1:5" x14ac:dyDescent="0.4">
      <c r="A317">
        <v>104.75</v>
      </c>
      <c r="B317" s="4">
        <f t="shared" si="22"/>
        <v>2.6013455659483076</v>
      </c>
      <c r="C317" s="4">
        <f t="shared" si="23"/>
        <v>4.2445444353221911</v>
      </c>
      <c r="D317" s="4">
        <f t="shared" si="20"/>
        <v>202.78429128762977</v>
      </c>
      <c r="E317" s="4">
        <f t="shared" si="21"/>
        <v>195.76531621688102</v>
      </c>
    </row>
    <row r="318" spans="1:5" x14ac:dyDescent="0.4">
      <c r="A318">
        <v>105</v>
      </c>
      <c r="B318" s="4">
        <f t="shared" si="22"/>
        <v>2.6001283354202163</v>
      </c>
      <c r="C318" s="4">
        <f t="shared" si="23"/>
        <v>4.2371160936889476</v>
      </c>
      <c r="D318" s="4">
        <f t="shared" si="20"/>
        <v>202.76452709381732</v>
      </c>
      <c r="E318" s="4">
        <f t="shared" si="21"/>
        <v>195.75783587249819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8"/>
  <sheetViews>
    <sheetView zoomScaleNormal="100" workbookViewId="0">
      <selection activeCell="L18" sqref="L18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6" x14ac:dyDescent="0.4">
      <c r="A1" t="s">
        <v>0</v>
      </c>
      <c r="B1" s="13">
        <f>CONVERT(23000, "ft", "m")</f>
        <v>7010.4</v>
      </c>
      <c r="C1" t="str">
        <f>"---&gt;"</f>
        <v>---&gt;</v>
      </c>
      <c r="D1" s="1" t="s">
        <v>1</v>
      </c>
      <c r="E1" s="4">
        <f>SQRT(2*9.81*(B1-500))*1.5</f>
        <v>536.09850587368737</v>
      </c>
      <c r="F1" s="10" t="s">
        <v>72</v>
      </c>
    </row>
    <row r="2" spans="1:16" x14ac:dyDescent="0.4">
      <c r="A2" t="s">
        <v>2</v>
      </c>
      <c r="B2" s="13">
        <v>4</v>
      </c>
    </row>
    <row r="3" spans="1:16" ht="17.149999999999999" x14ac:dyDescent="0.55000000000000004">
      <c r="A3" t="s">
        <v>3</v>
      </c>
      <c r="B3" s="14">
        <f>CONVERT(350,"psi","Pa")/1000</f>
        <v>2413.165052608927</v>
      </c>
      <c r="D3" t="s">
        <v>4</v>
      </c>
      <c r="E3">
        <v>1311</v>
      </c>
    </row>
    <row r="4" spans="1:16" ht="17.149999999999999" x14ac:dyDescent="0.55000000000000004">
      <c r="A4" s="1" t="s">
        <v>5</v>
      </c>
      <c r="B4" s="13">
        <v>10</v>
      </c>
      <c r="D4" t="s">
        <v>6</v>
      </c>
      <c r="E4" s="4">
        <f>101.325*(1 - 0.0065*E3/288.16)^(-9.81/-0.0065/287)</f>
        <v>86.528880457303998</v>
      </c>
      <c r="F4" s="2" t="s">
        <v>7</v>
      </c>
    </row>
    <row r="5" spans="1:16" ht="17.149999999999999" x14ac:dyDescent="0.55000000000000004">
      <c r="A5" s="1" t="s">
        <v>8</v>
      </c>
      <c r="B5">
        <v>0.9</v>
      </c>
      <c r="D5" s="1" t="s">
        <v>9</v>
      </c>
      <c r="E5" s="4">
        <f>101.325*(1 - 0.0065*2/3*B1/288.16)^(-9.81/-0.0065/287)</f>
        <v>56.401942621880451</v>
      </c>
      <c r="F5" s="2" t="s">
        <v>10</v>
      </c>
    </row>
    <row r="6" spans="1:16" x14ac:dyDescent="0.4">
      <c r="A6" s="1" t="s">
        <v>11</v>
      </c>
      <c r="B6">
        <v>0.9</v>
      </c>
    </row>
    <row r="7" spans="1:16" ht="17.149999999999999" x14ac:dyDescent="0.55000000000000004">
      <c r="A7" s="1" t="s">
        <v>12</v>
      </c>
      <c r="B7">
        <f>19/30</f>
        <v>0.6333333333333333</v>
      </c>
    </row>
    <row r="9" spans="1:16" x14ac:dyDescent="0.4">
      <c r="A9" s="1" t="s">
        <v>13</v>
      </c>
      <c r="B9">
        <v>1.2585999999999999</v>
      </c>
      <c r="H9" t="s">
        <v>73</v>
      </c>
    </row>
    <row r="10" spans="1:16" x14ac:dyDescent="0.4">
      <c r="A10" s="1" t="s">
        <v>15</v>
      </c>
      <c r="B10">
        <v>22.117999999999999</v>
      </c>
      <c r="C10" t="str">
        <f>"---&gt;"</f>
        <v>---&gt;</v>
      </c>
      <c r="D10" t="s">
        <v>16</v>
      </c>
      <c r="E10">
        <f>8314/B10</f>
        <v>375.89293787865091</v>
      </c>
      <c r="H10" s="4">
        <f>E244</f>
        <v>178.92828976583829</v>
      </c>
      <c r="N10" s="6"/>
    </row>
    <row r="11" spans="1:16" ht="17.149999999999999" x14ac:dyDescent="0.55000000000000004">
      <c r="A11" s="1" t="s">
        <v>17</v>
      </c>
      <c r="B11">
        <v>2591.1</v>
      </c>
    </row>
    <row r="12" spans="1:16" x14ac:dyDescent="0.4">
      <c r="A12" s="1" t="s">
        <v>18</v>
      </c>
      <c r="B12" s="4">
        <f>B5*SQRT(B9*E10*B11)/B9/(2/(B9 + 1))^((B9 + 1)/(2*B9 - 2))</f>
        <v>1346.4489314165457</v>
      </c>
      <c r="H12" t="s">
        <v>19</v>
      </c>
      <c r="J12" t="s">
        <v>20</v>
      </c>
      <c r="M12" t="s">
        <v>21</v>
      </c>
      <c r="P12" s="10" t="s">
        <v>63</v>
      </c>
    </row>
    <row r="13" spans="1:16" ht="17.149999999999999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s="1" t="s">
        <v>28</v>
      </c>
      <c r="N13" s="4">
        <f>C244</f>
        <v>4.2293874137003593</v>
      </c>
      <c r="O13" t="s">
        <v>64</v>
      </c>
    </row>
    <row r="14" spans="1:16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25</v>
      </c>
      <c r="N14">
        <f>I26*B12/(B3*1000)</f>
        <v>1.1518151494207787E-3</v>
      </c>
      <c r="O14" s="18">
        <f>SQRT(N14/PI())*2</f>
        <v>3.8295386098948989E-2</v>
      </c>
      <c r="P14" s="10" t="s">
        <v>65</v>
      </c>
    </row>
    <row r="15" spans="1:16" ht="17.600000000000001" x14ac:dyDescent="0.55000000000000004">
      <c r="A15">
        <v>29.5</v>
      </c>
      <c r="B15" s="4">
        <f>SQRT(2/($B$9-1)*((A15/$B$3)^((1-$B$9)/$B$9) - 1))</f>
        <v>3.3738163527830762</v>
      </c>
      <c r="C15" s="4">
        <f>1/B15*(2/($B$9+1)*(1 + ($B$9-1)/2*B15^2))^(($B$9+1)/(2*$B$9-2))</f>
        <v>9.0682198458190868</v>
      </c>
      <c r="D15" s="4">
        <f t="shared" ref="D15:D78" si="0">$B$6*$B$12/9.81*($B$9*SQRT(2/($B$9-1)*(2/($B$9+1))^(($B$9+1)/($B$9-1))*(1 - (A15/$B$3)^(($B$9-1)/$B$9))) + C15/$B$3*(A15 - $E$5))</f>
        <v>183.69063702094471</v>
      </c>
      <c r="E15" s="4">
        <f>$B$6*$B$12/9.81*($B$9*SQRT(2/($B$9-1)*(2/($B$9+1))^(($B$9+1)/($B$9-1))*(1 - (A15/$B$3)^(($B$9-1)/$B$9))) + C15/$B$3*(A15 - $E$4))</f>
        <v>169.70592934982247</v>
      </c>
      <c r="H15" s="1" t="s">
        <v>33</v>
      </c>
      <c r="I15">
        <f>0.5*B3/E10/B11*1^2</f>
        <v>1.2388213767809849E-3</v>
      </c>
      <c r="J15" s="2" t="s">
        <v>34</v>
      </c>
      <c r="M15" t="s">
        <v>32</v>
      </c>
      <c r="N15">
        <f>N14*N13</f>
        <v>4.8714724958696404E-3</v>
      </c>
      <c r="O15" s="18">
        <f>SQRT(N15/PI())*2</f>
        <v>7.8756278624824122E-2</v>
      </c>
      <c r="P15" s="10" t="s">
        <v>66</v>
      </c>
    </row>
    <row r="16" spans="1:16" ht="17.149999999999999" x14ac:dyDescent="0.55000000000000004">
      <c r="A16">
        <v>29.75</v>
      </c>
      <c r="B16" s="4">
        <f t="shared" ref="B16:B79" si="1">SQRT(2/($B$9-1)*((A16/$B$3)^((1-$B$9)/$B$9) - 1))</f>
        <v>3.3689047440232009</v>
      </c>
      <c r="C16" s="4">
        <f t="shared" ref="C16:C79" si="2">1/B16*(2/($B$9+1)*(1 + ($B$9-1)/2*B16^2))^(($B$9+1)/(2*$B$9-2))</f>
        <v>9.0129363951993753</v>
      </c>
      <c r="D16" s="4">
        <f t="shared" si="0"/>
        <v>183.76641403774755</v>
      </c>
      <c r="E16" s="4">
        <f t="shared" ref="E16:E79" si="3">$B$6*$B$12/9.81*($B$9*SQRT(2/($B$9-1)*(2/($B$9+1))^(($B$9+1)/($B$9-1))*(1 - (A16/$B$3)^(($B$9-1)/$B$9))) + C16/$B$3*(A16 - $E$4))</f>
        <v>169.86696266930792</v>
      </c>
      <c r="H16" s="1" t="s">
        <v>36</v>
      </c>
      <c r="I16" s="16">
        <f>B3+I13+I14+I15</f>
        <v>2895.7993019520891</v>
      </c>
      <c r="J16" s="4">
        <f>CONVERT(I16*1000, "Pa", "psi")</f>
        <v>420.00017967585001</v>
      </c>
    </row>
    <row r="17" spans="1:19" x14ac:dyDescent="0.4">
      <c r="A17">
        <v>30</v>
      </c>
      <c r="B17" s="4">
        <f t="shared" si="1"/>
        <v>3.3640355764241252</v>
      </c>
      <c r="C17" s="4">
        <f t="shared" si="2"/>
        <v>8.9584636260983128</v>
      </c>
      <c r="D17" s="4">
        <f t="shared" si="0"/>
        <v>183.84038274509706</v>
      </c>
      <c r="E17" s="4">
        <f t="shared" si="3"/>
        <v>170.02493747320858</v>
      </c>
    </row>
    <row r="18" spans="1:19" x14ac:dyDescent="0.4">
      <c r="A18">
        <v>30.25</v>
      </c>
      <c r="B18" s="4">
        <f t="shared" si="1"/>
        <v>3.3592081259673567</v>
      </c>
      <c r="C18" s="4">
        <f t="shared" si="2"/>
        <v>8.904783016662444</v>
      </c>
      <c r="D18" s="4">
        <f t="shared" si="0"/>
        <v>183.91258880614126</v>
      </c>
      <c r="E18" s="4">
        <f t="shared" si="3"/>
        <v>170.17992798846012</v>
      </c>
    </row>
    <row r="19" spans="1:19" ht="17.149999999999999" x14ac:dyDescent="0.55000000000000004">
      <c r="A19">
        <v>30.5</v>
      </c>
      <c r="B19" s="4">
        <f t="shared" si="1"/>
        <v>3.3544216868767442</v>
      </c>
      <c r="C19" s="4">
        <f t="shared" si="2"/>
        <v>8.8518766171078997</v>
      </c>
      <c r="D19" s="4">
        <f t="shared" si="0"/>
        <v>183.98307641075414</v>
      </c>
      <c r="E19" s="4">
        <f t="shared" si="3"/>
        <v>170.33200608649747</v>
      </c>
      <c r="H19" t="s">
        <v>37</v>
      </c>
      <c r="K19" t="s">
        <v>38</v>
      </c>
      <c r="L19" s="3" t="s">
        <v>74</v>
      </c>
    </row>
    <row r="20" spans="1:19" ht="17.600000000000001" x14ac:dyDescent="0.55000000000000004">
      <c r="A20">
        <v>30.75</v>
      </c>
      <c r="B20" s="4">
        <f t="shared" si="1"/>
        <v>3.3496755710132011</v>
      </c>
      <c r="C20" s="4">
        <f t="shared" si="2"/>
        <v>8.7997270275313451</v>
      </c>
      <c r="D20" s="4">
        <f t="shared" si="0"/>
        <v>184.05188833409886</v>
      </c>
      <c r="E20" s="4">
        <f t="shared" si="3"/>
        <v>170.48124137603719</v>
      </c>
      <c r="H20" t="s">
        <v>39</v>
      </c>
      <c r="I20" s="14">
        <f>CONVERT(60, "lbm", "kg")</f>
        <v>27.215542200000002</v>
      </c>
      <c r="K20" t="s">
        <v>40</v>
      </c>
      <c r="L20" s="13">
        <v>400</v>
      </c>
      <c r="M20" s="10" t="s">
        <v>41</v>
      </c>
    </row>
    <row r="21" spans="1:19" ht="17.600000000000001" x14ac:dyDescent="0.55000000000000004">
      <c r="A21">
        <v>31</v>
      </c>
      <c r="B21" s="4">
        <f t="shared" si="1"/>
        <v>3.3449691072942636</v>
      </c>
      <c r="C21" s="4">
        <f t="shared" si="2"/>
        <v>8.7483173767541018</v>
      </c>
      <c r="D21" s="4">
        <f t="shared" si="0"/>
        <v>184.11906599242076</v>
      </c>
      <c r="E21" s="4">
        <f t="shared" si="3"/>
        <v>170.62770129149641</v>
      </c>
      <c r="H21" t="s">
        <v>42</v>
      </c>
      <c r="I21" s="4">
        <f>I20*EXP(E1/H10/9.81)</f>
        <v>36.93677198681101</v>
      </c>
      <c r="K21" t="s">
        <v>43</v>
      </c>
      <c r="L21" s="21">
        <f>I28/1/L20</f>
        <v>4.1286676394381014E-3</v>
      </c>
      <c r="M21" s="4">
        <f>L21*100^2</f>
        <v>41.286676394381011</v>
      </c>
      <c r="N21" t="s">
        <v>44</v>
      </c>
      <c r="O21" t="s">
        <v>67</v>
      </c>
    </row>
    <row r="22" spans="1:19" ht="17.149999999999999" x14ac:dyDescent="0.55000000000000004">
      <c r="A22">
        <v>31.25</v>
      </c>
      <c r="B22" s="4">
        <f t="shared" si="1"/>
        <v>3.3403016411372644</v>
      </c>
      <c r="C22" s="4">
        <f t="shared" si="2"/>
        <v>8.6976313021432432</v>
      </c>
      <c r="D22" s="4">
        <f t="shared" si="0"/>
        <v>184.1846494962229</v>
      </c>
      <c r="E22" s="4">
        <f t="shared" si="3"/>
        <v>170.7714511772877</v>
      </c>
      <c r="H22" t="s">
        <v>45</v>
      </c>
      <c r="I22" s="7">
        <f>I21-I20</f>
        <v>9.7212297868110085</v>
      </c>
      <c r="K22" t="s">
        <v>46</v>
      </c>
      <c r="L22" s="17">
        <f>2*SQRT(L21/PI())</f>
        <v>7.2503675117892935E-2</v>
      </c>
      <c r="M22" s="4">
        <f>L22*100</f>
        <v>7.2503675117892934</v>
      </c>
      <c r="N22" t="s">
        <v>47</v>
      </c>
      <c r="O22" s="8">
        <f>CONVERT(L22, "m", "in")</f>
        <v>2.8544753983422413</v>
      </c>
      <c r="P22" s="4"/>
    </row>
    <row r="23" spans="1:19" ht="17.149999999999999" x14ac:dyDescent="0.55000000000000004">
      <c r="A23">
        <v>31.5</v>
      </c>
      <c r="B23" s="4">
        <f t="shared" si="1"/>
        <v>3.3356725339249911</v>
      </c>
      <c r="C23" s="4">
        <f t="shared" si="2"/>
        <v>8.6476529303572143</v>
      </c>
      <c r="D23" s="4">
        <f t="shared" si="0"/>
        <v>184.24867770096591</v>
      </c>
      <c r="E23" s="4">
        <f t="shared" si="3"/>
        <v>170.91255436821208</v>
      </c>
      <c r="H23" t="s">
        <v>48</v>
      </c>
      <c r="I23" s="15">
        <f>I22/(1+B2)</f>
        <v>1.9442459573622017</v>
      </c>
      <c r="K23" t="s">
        <v>49</v>
      </c>
      <c r="L23" s="18">
        <f>(I27*PI()^(0.5-1)/(0.155/1000*(4*I26)^0.5*900)*L22^(2*0.5-1))^(1/(0+1))</f>
        <v>0.58108654545580174</v>
      </c>
      <c r="M23" s="4">
        <f>L23*100</f>
        <v>58.108654545580173</v>
      </c>
      <c r="N23" t="s">
        <v>47</v>
      </c>
      <c r="O23" s="8">
        <f>CONVERT(L23, "m", "in")</f>
        <v>22.877423049441013</v>
      </c>
      <c r="P23" s="10" t="s">
        <v>68</v>
      </c>
    </row>
    <row r="24" spans="1:19" ht="17.149999999999999" x14ac:dyDescent="0.55000000000000004">
      <c r="A24">
        <v>31.75</v>
      </c>
      <c r="B24" s="4">
        <f t="shared" si="1"/>
        <v>3.3310811624927492</v>
      </c>
      <c r="C24" s="4">
        <f t="shared" si="2"/>
        <v>8.5983668589667648</v>
      </c>
      <c r="D24" s="4">
        <f t="shared" si="0"/>
        <v>184.31118825542529</v>
      </c>
      <c r="E24" s="4">
        <f t="shared" si="3"/>
        <v>171.0510722661603</v>
      </c>
      <c r="H24" t="s">
        <v>51</v>
      </c>
      <c r="I24" s="15">
        <f>I22-I23</f>
        <v>7.776983829448807</v>
      </c>
      <c r="K24" t="s">
        <v>52</v>
      </c>
      <c r="L24" s="18">
        <f>SQRT(4*I23/PI()/L23/900/1 + L22^2)</f>
        <v>9.9951163500923826E-2</v>
      </c>
      <c r="M24" s="4">
        <f t="shared" ref="M24:M25" si="4">L24*100</f>
        <v>9.995116350092383</v>
      </c>
      <c r="N24" t="s">
        <v>47</v>
      </c>
      <c r="O24" s="8">
        <f t="shared" ref="O24:O25" si="5">CONVERT(L24, "m", "in")</f>
        <v>3.9350851772017252</v>
      </c>
    </row>
    <row r="25" spans="1:19" ht="17.149999999999999" x14ac:dyDescent="0.55000000000000004">
      <c r="A25">
        <v>32</v>
      </c>
      <c r="B25" s="4">
        <f t="shared" si="1"/>
        <v>3.3265269186357904</v>
      </c>
      <c r="C25" s="4">
        <f t="shared" si="2"/>
        <v>8.5497581389045738</v>
      </c>
      <c r="D25" s="4">
        <f t="shared" si="0"/>
        <v>184.37221764783249</v>
      </c>
      <c r="E25" s="4">
        <f t="shared" si="3"/>
        <v>171.18706441331926</v>
      </c>
      <c r="H25" t="s">
        <v>53</v>
      </c>
      <c r="I25" s="7">
        <f>I20/I21</f>
        <v>0.7368143109451426</v>
      </c>
      <c r="K25" t="s">
        <v>54</v>
      </c>
      <c r="L25" s="18">
        <f>(L24-L22)/2</f>
        <v>1.3723744191515445E-2</v>
      </c>
      <c r="M25" s="4">
        <f t="shared" si="4"/>
        <v>1.3723744191515446</v>
      </c>
      <c r="N25" t="s">
        <v>47</v>
      </c>
      <c r="O25" s="4">
        <f t="shared" si="5"/>
        <v>0.54030488942974197</v>
      </c>
    </row>
    <row r="26" spans="1:19" ht="17.149999999999999" x14ac:dyDescent="0.55000000000000004">
      <c r="A26">
        <v>32.25</v>
      </c>
      <c r="B26" s="4">
        <f t="shared" si="1"/>
        <v>3.322009208636183</v>
      </c>
      <c r="C26" s="4">
        <f t="shared" si="2"/>
        <v>8.5018122577004203</v>
      </c>
      <c r="D26" s="4">
        <f t="shared" si="0"/>
        <v>184.4318012499167</v>
      </c>
      <c r="E26" s="4">
        <f t="shared" si="3"/>
        <v>171.32058856206805</v>
      </c>
      <c r="H26" t="s">
        <v>55</v>
      </c>
      <c r="I26" s="15">
        <f>B4*I21/H10</f>
        <v>2.0643338197190508</v>
      </c>
      <c r="K26" t="s">
        <v>69</v>
      </c>
      <c r="M26">
        <v>0</v>
      </c>
    </row>
    <row r="27" spans="1:19" ht="17.149999999999999" x14ac:dyDescent="0.55000000000000004">
      <c r="A27">
        <v>32.5</v>
      </c>
      <c r="B27" s="4">
        <f t="shared" si="1"/>
        <v>3.3175274528081737</v>
      </c>
      <c r="C27" s="4">
        <f t="shared" si="2"/>
        <v>8.4545151234606521</v>
      </c>
      <c r="D27" s="4">
        <f t="shared" si="0"/>
        <v>184.48997335895854</v>
      </c>
      <c r="E27" s="4">
        <f t="shared" si="3"/>
        <v>171.45170074173791</v>
      </c>
      <c r="H27" t="s">
        <v>57</v>
      </c>
      <c r="I27" s="8">
        <f>I26/(1 + B2)</f>
        <v>0.41286676394381017</v>
      </c>
      <c r="L27" s="10" t="s">
        <v>70</v>
      </c>
      <c r="M27" s="20"/>
    </row>
    <row r="28" spans="1:19" ht="17.149999999999999" x14ac:dyDescent="0.55000000000000004">
      <c r="A28">
        <v>32.75</v>
      </c>
      <c r="B28" s="4">
        <f t="shared" si="1"/>
        <v>3.3130810850612122</v>
      </c>
      <c r="C28" s="4">
        <f t="shared" si="2"/>
        <v>8.4078530495536921</v>
      </c>
      <c r="D28" s="4">
        <f t="shared" si="0"/>
        <v>184.54676723795913</v>
      </c>
      <c r="E28" s="4">
        <f t="shared" si="3"/>
        <v>171.58045532239908</v>
      </c>
      <c r="H28" t="s">
        <v>58</v>
      </c>
      <c r="I28" s="7">
        <f>I26-I27</f>
        <v>1.6514670557752407</v>
      </c>
    </row>
    <row r="29" spans="1:19" x14ac:dyDescent="0.4">
      <c r="A29">
        <v>33</v>
      </c>
      <c r="B29" s="4">
        <f t="shared" si="1"/>
        <v>3.3086695524798015</v>
      </c>
      <c r="C29" s="4">
        <f t="shared" si="2"/>
        <v>8.3618127399651385</v>
      </c>
      <c r="D29" s="4">
        <f t="shared" si="0"/>
        <v>184.6022151540229</v>
      </c>
      <c r="E29" s="4">
        <f t="shared" si="3"/>
        <v>171.70690507582799</v>
      </c>
      <c r="H29" s="1"/>
      <c r="I29" s="7"/>
      <c r="S29" s="7"/>
    </row>
    <row r="30" spans="1:19" x14ac:dyDescent="0.4">
      <c r="A30">
        <v>33.25</v>
      </c>
      <c r="B30" s="4">
        <f t="shared" si="1"/>
        <v>3.3042923149194174</v>
      </c>
      <c r="C30" s="4">
        <f t="shared" si="2"/>
        <v>8.3163812752884994</v>
      </c>
      <c r="D30" s="4">
        <f t="shared" si="0"/>
        <v>184.65634841504598</v>
      </c>
      <c r="E30" s="4">
        <f t="shared" si="3"/>
        <v>171.83110123380061</v>
      </c>
      <c r="K30" s="4"/>
      <c r="M30" s="4"/>
      <c r="N30" s="4"/>
    </row>
    <row r="31" spans="1:19" x14ac:dyDescent="0.4">
      <c r="A31">
        <v>33.5</v>
      </c>
      <c r="B31" s="4">
        <f t="shared" si="1"/>
        <v>3.2999488446177572</v>
      </c>
      <c r="C31" s="4">
        <f t="shared" si="2"/>
        <v>8.2715460993194387</v>
      </c>
      <c r="D31" s="4">
        <f t="shared" si="0"/>
        <v>184.70919740479644</v>
      </c>
      <c r="E31" s="4">
        <f t="shared" si="3"/>
        <v>171.95309354384668</v>
      </c>
      <c r="H31" s="22" t="s">
        <v>75</v>
      </c>
    </row>
    <row r="32" spans="1:19" x14ac:dyDescent="0.4">
      <c r="A32">
        <v>33.75</v>
      </c>
      <c r="B32" s="4">
        <f t="shared" si="1"/>
        <v>3.2956386258206369</v>
      </c>
      <c r="C32" s="4">
        <f t="shared" si="2"/>
        <v>8.2272950062231249</v>
      </c>
      <c r="D32" s="4">
        <f t="shared" si="0"/>
        <v>184.76079161646899</v>
      </c>
      <c r="E32" s="4">
        <f t="shared" si="3"/>
        <v>172.07293032259432</v>
      </c>
      <c r="H32" t="s">
        <v>37</v>
      </c>
      <c r="K32" t="s">
        <v>38</v>
      </c>
      <c r="L32" t="s">
        <v>76</v>
      </c>
    </row>
    <row r="33" spans="1:15" ht="17.600000000000001" x14ac:dyDescent="0.55000000000000004">
      <c r="A33">
        <v>34</v>
      </c>
      <c r="B33" s="4">
        <f t="shared" si="1"/>
        <v>3.291361154421871</v>
      </c>
      <c r="C33" s="4">
        <f t="shared" si="2"/>
        <v>8.1836161282462747</v>
      </c>
      <c r="D33" s="4">
        <f t="shared" si="0"/>
        <v>184.81115968479034</v>
      </c>
      <c r="E33" s="4">
        <f t="shared" si="3"/>
        <v>172.19065850682534</v>
      </c>
      <c r="H33" t="s">
        <v>39</v>
      </c>
      <c r="I33" s="14">
        <f>I20</f>
        <v>27.215542200000002</v>
      </c>
      <c r="K33" t="s">
        <v>40</v>
      </c>
      <c r="L33" s="13">
        <v>694.28255734229344</v>
      </c>
      <c r="M33" s="10" t="s">
        <v>41</v>
      </c>
    </row>
    <row r="34" spans="1:15" ht="17.600000000000001" x14ac:dyDescent="0.55000000000000004">
      <c r="A34">
        <v>34.25</v>
      </c>
      <c r="B34" s="4">
        <f t="shared" si="1"/>
        <v>3.2871159376165124</v>
      </c>
      <c r="C34" s="4">
        <f t="shared" si="2"/>
        <v>8.1404979239467963</v>
      </c>
      <c r="D34" s="4">
        <f t="shared" si="0"/>
        <v>184.86032941674756</v>
      </c>
      <c r="E34" s="4">
        <f t="shared" si="3"/>
        <v>172.30632370235583</v>
      </c>
      <c r="H34" t="s">
        <v>42</v>
      </c>
      <c r="I34" s="4">
        <f>I33+I35</f>
        <v>37.215542200000002</v>
      </c>
      <c r="K34" t="s">
        <v>43</v>
      </c>
      <c r="L34" s="21">
        <f>I41/1/L33</f>
        <v>2.3966194100580466E-3</v>
      </c>
      <c r="M34" s="4">
        <f>L34*100^2</f>
        <v>23.966194100580466</v>
      </c>
      <c r="N34" t="s">
        <v>44</v>
      </c>
      <c r="O34" t="s">
        <v>67</v>
      </c>
    </row>
    <row r="35" spans="1:15" ht="17.149999999999999" x14ac:dyDescent="0.55000000000000004">
      <c r="A35">
        <v>34.5</v>
      </c>
      <c r="B35" s="4">
        <f t="shared" si="1"/>
        <v>3.2829024935668807</v>
      </c>
      <c r="C35" s="4">
        <f t="shared" si="2"/>
        <v>8.0979291669159164</v>
      </c>
      <c r="D35" s="4">
        <f t="shared" si="0"/>
        <v>184.90832782100873</v>
      </c>
      <c r="E35" s="4">
        <f t="shared" si="3"/>
        <v>172.4199702308488</v>
      </c>
      <c r="H35" t="s">
        <v>45</v>
      </c>
      <c r="I35" s="7">
        <f>I36+I37</f>
        <v>10</v>
      </c>
      <c r="K35" t="s">
        <v>46</v>
      </c>
      <c r="L35" s="17">
        <f>2*SQRT(L34/PI())</f>
        <v>5.5240117727660222E-2</v>
      </c>
      <c r="M35" s="4">
        <f>L35*100</f>
        <v>5.5240117727660225</v>
      </c>
      <c r="N35" t="s">
        <v>47</v>
      </c>
      <c r="O35" s="8">
        <f>CONVERT(L35, "m", "in")</f>
        <v>2.1748077845535523</v>
      </c>
    </row>
    <row r="36" spans="1:15" ht="17.149999999999999" x14ac:dyDescent="0.55000000000000004">
      <c r="A36">
        <v>34.75</v>
      </c>
      <c r="B36" s="4">
        <f t="shared" si="1"/>
        <v>3.2787203510807905</v>
      </c>
      <c r="C36" s="4">
        <f t="shared" si="2"/>
        <v>8.0558989349683667</v>
      </c>
      <c r="D36" s="4">
        <f t="shared" si="0"/>
        <v>184.95518113609927</v>
      </c>
      <c r="E36" s="4">
        <f t="shared" si="3"/>
        <v>172.53164117466139</v>
      </c>
      <c r="H36" t="s">
        <v>48</v>
      </c>
      <c r="I36" s="15">
        <f>I37/B2</f>
        <v>2</v>
      </c>
      <c r="K36" t="s">
        <v>49</v>
      </c>
      <c r="L36" s="18">
        <f>(I40*PI()^(0.5-1)/(0.155/1000*(4*I39)^0.5*900)*L35^(2*0.5-1))^(1/(0+1))</f>
        <v>0.58327521972683338</v>
      </c>
      <c r="M36" s="4">
        <f>L36*100</f>
        <v>58.327521972683336</v>
      </c>
      <c r="N36" t="s">
        <v>47</v>
      </c>
      <c r="O36" s="8">
        <f t="shared" ref="O36:O38" si="6">CONVERT(L36, "m", "in")</f>
        <v>22.963591327828084</v>
      </c>
    </row>
    <row r="37" spans="1:15" ht="17.149999999999999" x14ac:dyDescent="0.55000000000000004">
      <c r="A37">
        <v>35</v>
      </c>
      <c r="B37" s="4">
        <f t="shared" si="1"/>
        <v>3.2745690493014741</v>
      </c>
      <c r="C37" s="4">
        <f t="shared" si="2"/>
        <v>8.0143965997783599</v>
      </c>
      <c r="D37" s="4">
        <f t="shared" si="0"/>
        <v>185.00091485739662</v>
      </c>
      <c r="E37" s="4">
        <f t="shared" si="3"/>
        <v>172.64137841982219</v>
      </c>
      <c r="H37" t="s">
        <v>51</v>
      </c>
      <c r="I37" s="23">
        <v>8</v>
      </c>
      <c r="K37" t="s">
        <v>52</v>
      </c>
      <c r="L37" s="18">
        <f>SQRT(4*I36/PI()/L36/900/1 + L35^2)</f>
        <v>8.8895389262920219E-2</v>
      </c>
      <c r="M37" s="4">
        <f t="shared" ref="M37:M38" si="7">L37*100</f>
        <v>8.8895389262920226</v>
      </c>
      <c r="N37" t="s">
        <v>47</v>
      </c>
      <c r="O37" s="8">
        <f t="shared" si="6"/>
        <v>3.4998184749181185</v>
      </c>
    </row>
    <row r="38" spans="1:15" ht="17.149999999999999" x14ac:dyDescent="0.55000000000000004">
      <c r="A38">
        <v>35.25</v>
      </c>
      <c r="B38" s="4">
        <f t="shared" si="1"/>
        <v>3.2704481374086809</v>
      </c>
      <c r="C38" s="4">
        <f t="shared" si="2"/>
        <v>7.9734118169398442</v>
      </c>
      <c r="D38" s="4">
        <f t="shared" si="0"/>
        <v>185.04555376299803</v>
      </c>
      <c r="E38" s="4">
        <f t="shared" si="3"/>
        <v>172.74922269722822</v>
      </c>
      <c r="H38" t="s">
        <v>53</v>
      </c>
      <c r="I38" s="7">
        <f>I33/I34</f>
        <v>0.73129506091140595</v>
      </c>
      <c r="K38" t="s">
        <v>54</v>
      </c>
      <c r="L38" s="18">
        <f>(L37-L35)/2</f>
        <v>1.6827635767629998E-2</v>
      </c>
      <c r="M38" s="4">
        <f t="shared" si="7"/>
        <v>1.6827635767629998</v>
      </c>
      <c r="N38" t="s">
        <v>47</v>
      </c>
      <c r="O38" s="4">
        <f t="shared" si="6"/>
        <v>0.66250534518228343</v>
      </c>
    </row>
    <row r="39" spans="1:15" ht="17.149999999999999" x14ac:dyDescent="0.55000000000000004">
      <c r="A39">
        <v>35.5</v>
      </c>
      <c r="B39" s="4">
        <f t="shared" si="1"/>
        <v>3.2663571743304733</v>
      </c>
      <c r="C39" s="4">
        <f t="shared" si="2"/>
        <v>7.9329345164305733</v>
      </c>
      <c r="D39" s="4">
        <f t="shared" si="0"/>
        <v>185.08912193851887</v>
      </c>
      <c r="E39" s="4">
        <f t="shared" si="3"/>
        <v>172.85521362214891</v>
      </c>
      <c r="H39" t="s">
        <v>55</v>
      </c>
      <c r="I39" s="15">
        <f>B4*I34/H10</f>
        <v>2.0799138162390989</v>
      </c>
      <c r="L39" s="10" t="s">
        <v>70</v>
      </c>
    </row>
    <row r="40" spans="1:15" ht="17.149999999999999" x14ac:dyDescent="0.55000000000000004">
      <c r="A40">
        <v>35.75</v>
      </c>
      <c r="B40" s="4">
        <f t="shared" si="1"/>
        <v>3.2622957284652796</v>
      </c>
      <c r="C40" s="4">
        <f t="shared" si="2"/>
        <v>7.8929548934612601</v>
      </c>
      <c r="D40" s="4">
        <f t="shared" si="0"/>
        <v>185.13164280087125</v>
      </c>
      <c r="E40" s="4">
        <f t="shared" si="3"/>
        <v>172.95938973211699</v>
      </c>
      <c r="H40" t="s">
        <v>57</v>
      </c>
      <c r="I40" s="8">
        <f>I39/(1 + B2)</f>
        <v>0.4159827632478198</v>
      </c>
      <c r="M40" s="20"/>
    </row>
    <row r="41" spans="1:15" ht="17.149999999999999" x14ac:dyDescent="0.55000000000000004">
      <c r="A41">
        <v>36</v>
      </c>
      <c r="B41" s="4">
        <f t="shared" si="1"/>
        <v>3.2582633774137344</v>
      </c>
      <c r="C41" s="4">
        <f t="shared" si="2"/>
        <v>7.8534633996912433</v>
      </c>
      <c r="D41" s="4">
        <f t="shared" si="0"/>
        <v>185.17313912107073</v>
      </c>
      <c r="E41" s="4">
        <f t="shared" si="3"/>
        <v>173.06178852328208</v>
      </c>
      <c r="H41" t="s">
        <v>58</v>
      </c>
      <c r="I41" s="7">
        <f>I39-I40</f>
        <v>1.6639310529912792</v>
      </c>
    </row>
    <row r="42" spans="1:15" x14ac:dyDescent="0.4">
      <c r="A42">
        <v>36.25</v>
      </c>
      <c r="B42" s="4">
        <f t="shared" si="1"/>
        <v>3.2542597077199487</v>
      </c>
      <c r="C42" s="4">
        <f t="shared" si="2"/>
        <v>7.8144507347940566</v>
      </c>
      <c r="D42" s="4">
        <f t="shared" si="0"/>
        <v>185.21363304611927</v>
      </c>
      <c r="E42" s="4">
        <f t="shared" si="3"/>
        <v>173.1624464853009</v>
      </c>
    </row>
    <row r="43" spans="1:15" x14ac:dyDescent="0.4">
      <c r="A43">
        <v>36.5</v>
      </c>
      <c r="B43" s="4">
        <f t="shared" si="1"/>
        <v>3.2502843146217644</v>
      </c>
      <c r="C43" s="4">
        <f t="shared" si="2"/>
        <v>7.77590783835615</v>
      </c>
      <c r="D43" s="4">
        <f t="shared" si="0"/>
        <v>185.25314612000599</v>
      </c>
      <c r="E43" s="4">
        <f t="shared" si="3"/>
        <v>173.26139913483172</v>
      </c>
    </row>
    <row r="44" spans="1:15" x14ac:dyDescent="0.4">
      <c r="A44">
        <v>36.75</v>
      </c>
      <c r="B44" s="4">
        <f t="shared" si="1"/>
        <v>3.2463368018096523</v>
      </c>
      <c r="C44" s="4">
        <f t="shared" si="2"/>
        <v>7.737825882093853</v>
      </c>
      <c r="D44" s="4">
        <f t="shared" si="0"/>
        <v>185.29169930386769</v>
      </c>
      <c r="E44" s="4">
        <f t="shared" si="3"/>
        <v>173.35868104769727</v>
      </c>
    </row>
    <row r="45" spans="1:15" x14ac:dyDescent="0.4">
      <c r="A45">
        <v>37</v>
      </c>
      <c r="B45" s="4">
        <f t="shared" si="1"/>
        <v>3.2424167811938904</v>
      </c>
      <c r="C45" s="4">
        <f t="shared" si="2"/>
        <v>7.7001962623736748</v>
      </c>
      <c r="D45" s="4">
        <f t="shared" si="0"/>
        <v>185.32931299534798</v>
      </c>
      <c r="E45" s="4">
        <f t="shared" si="3"/>
        <v>173.45432588977926</v>
      </c>
    </row>
    <row r="46" spans="1:15" x14ac:dyDescent="0.4">
      <c r="A46">
        <v>37.25</v>
      </c>
      <c r="B46" s="4">
        <f t="shared" si="1"/>
        <v>3.2385238726796817</v>
      </c>
      <c r="C46" s="4">
        <f t="shared" si="2"/>
        <v>7.6630105930224417</v>
      </c>
      <c r="D46" s="4">
        <f t="shared" si="0"/>
        <v>185.36600704719206</v>
      </c>
      <c r="E46" s="4">
        <f t="shared" si="3"/>
        <v>173.54836644670084</v>
      </c>
    </row>
    <row r="47" spans="1:15" x14ac:dyDescent="0.4">
      <c r="A47">
        <v>37.5</v>
      </c>
      <c r="B47" s="4">
        <f t="shared" si="1"/>
        <v>3.2346577039498907</v>
      </c>
      <c r="C47" s="4">
        <f t="shared" si="2"/>
        <v>7.6262606984139625</v>
      </c>
      <c r="D47" s="4">
        <f t="shared" si="0"/>
        <v>185.40180078511199</v>
      </c>
      <c r="E47" s="4">
        <f t="shared" si="3"/>
        <v>173.64083465235336</v>
      </c>
    </row>
    <row r="48" spans="1:15" x14ac:dyDescent="0.4">
      <c r="A48">
        <v>37.75</v>
      </c>
      <c r="B48" s="4">
        <f t="shared" si="1"/>
        <v>3.2308179102550896</v>
      </c>
      <c r="C48" s="4">
        <f t="shared" si="2"/>
        <v>7.5899386068198531</v>
      </c>
      <c r="D48" s="4">
        <f t="shared" si="0"/>
        <v>185.43671302495542</v>
      </c>
      <c r="E48" s="4">
        <f t="shared" si="3"/>
        <v>173.73176161631949</v>
      </c>
    </row>
    <row r="49" spans="1:5" x14ac:dyDescent="0.4">
      <c r="A49">
        <v>38</v>
      </c>
      <c r="B49" s="4">
        <f t="shared" si="1"/>
        <v>3.2270041342106328</v>
      </c>
      <c r="C49" s="4">
        <f t="shared" si="2"/>
        <v>7.5540365440129937</v>
      </c>
      <c r="D49" s="4">
        <f t="shared" si="0"/>
        <v>185.47076208920973</v>
      </c>
      <c r="E49" s="4">
        <f t="shared" si="3"/>
        <v>173.82117765024157</v>
      </c>
    </row>
    <row r="50" spans="1:5" x14ac:dyDescent="0.4">
      <c r="A50">
        <v>38.25</v>
      </c>
      <c r="B50" s="4">
        <f t="shared" si="1"/>
        <v>3.2232160256004554</v>
      </c>
      <c r="C50" s="4">
        <f t="shared" si="2"/>
        <v>7.5185469271119896</v>
      </c>
      <c r="D50" s="4">
        <f t="shared" si="0"/>
        <v>185.50396582287104</v>
      </c>
      <c r="E50" s="4">
        <f t="shared" si="3"/>
        <v>173.90911229318377</v>
      </c>
    </row>
    <row r="51" spans="1:5" x14ac:dyDescent="0.4">
      <c r="A51">
        <v>38.5</v>
      </c>
      <c r="B51" s="4">
        <f t="shared" si="1"/>
        <v>3.2194532411873618</v>
      </c>
      <c r="C51" s="4">
        <f t="shared" si="2"/>
        <v>7.4834623586564941</v>
      </c>
      <c r="D51" s="4">
        <f t="shared" si="0"/>
        <v>185.53634160870644</v>
      </c>
      <c r="E51" s="4">
        <f t="shared" si="3"/>
        <v>173.99559433603099</v>
      </c>
    </row>
    <row r="52" spans="1:5" x14ac:dyDescent="0.4">
      <c r="A52">
        <v>38.75</v>
      </c>
      <c r="B52" s="4">
        <f t="shared" si="1"/>
        <v>3.2157154445295215</v>
      </c>
      <c r="C52" s="4">
        <f t="shared" si="2"/>
        <v>7.4487756209030245</v>
      </c>
      <c r="D52" s="4">
        <f t="shared" si="0"/>
        <v>185.56790638193644</v>
      </c>
      <c r="E52" s="4">
        <f t="shared" si="3"/>
        <v>174.08065184496817</v>
      </c>
    </row>
    <row r="53" spans="1:5" x14ac:dyDescent="0.4">
      <c r="A53">
        <v>39</v>
      </c>
      <c r="B53" s="4">
        <f t="shared" si="1"/>
        <v>3.2120023058029497</v>
      </c>
      <c r="C53" s="4">
        <f t="shared" si="2"/>
        <v>7.4144796703317288</v>
      </c>
      <c r="D53" s="4">
        <f t="shared" si="0"/>
        <v>185.59867664436311</v>
      </c>
      <c r="E53" s="4">
        <f t="shared" si="3"/>
        <v>174.16431218407996</v>
      </c>
    </row>
    <row r="54" spans="1:5" x14ac:dyDescent="0.4">
      <c r="A54">
        <v>39.25</v>
      </c>
      <c r="B54" s="4">
        <f t="shared" si="1"/>
        <v>3.2083135016297248</v>
      </c>
      <c r="C54" s="4">
        <f t="shared" si="2"/>
        <v>7.3805676323551515</v>
      </c>
      <c r="D54" s="4">
        <f t="shared" si="0"/>
        <v>185.62866847796829</v>
      </c>
      <c r="E54" s="4">
        <f t="shared" si="3"/>
        <v>174.2466020371088</v>
      </c>
    </row>
    <row r="55" spans="1:5" x14ac:dyDescent="0.4">
      <c r="A55">
        <v>39.5</v>
      </c>
      <c r="B55" s="4">
        <f t="shared" si="1"/>
        <v>3.2046487149117366</v>
      </c>
      <c r="C55" s="4">
        <f t="shared" si="2"/>
        <v>7.3470327962201427</v>
      </c>
      <c r="D55" s="4">
        <f t="shared" si="0"/>
        <v>185.65789755800446</v>
      </c>
      <c r="E55" s="4">
        <f t="shared" si="3"/>
        <v>174.32754742840785</v>
      </c>
    </row>
    <row r="56" spans="1:5" x14ac:dyDescent="0.4">
      <c r="A56">
        <v>39.75</v>
      </c>
      <c r="B56" s="4">
        <f t="shared" si="1"/>
        <v>3.2010076346697449</v>
      </c>
      <c r="C56" s="4">
        <f t="shared" si="2"/>
        <v>7.3138686100948691</v>
      </c>
      <c r="D56" s="4">
        <f t="shared" si="0"/>
        <v>185.68637916560098</v>
      </c>
      <c r="E56" s="4">
        <f t="shared" si="3"/>
        <v>174.40717374312425</v>
      </c>
    </row>
    <row r="57" spans="1:5" x14ac:dyDescent="0.4">
      <c r="A57">
        <v>40</v>
      </c>
      <c r="B57" s="4">
        <f t="shared" si="1"/>
        <v>3.1973899558875449</v>
      </c>
      <c r="C57" s="4">
        <f t="shared" si="2"/>
        <v>7.2810686763329233</v>
      </c>
      <c r="D57" s="4">
        <f t="shared" si="0"/>
        <v>185.7141281999057</v>
      </c>
      <c r="E57" s="4">
        <f t="shared" si="3"/>
        <v>174.48550574664361</v>
      </c>
    </row>
    <row r="58" spans="1:5" x14ac:dyDescent="0.4">
      <c r="A58">
        <v>40.25</v>
      </c>
      <c r="B58" s="4">
        <f t="shared" si="1"/>
        <v>3.1937953793610556</v>
      </c>
      <c r="C58" s="4">
        <f t="shared" si="2"/>
        <v>7.2486267469072629</v>
      </c>
      <c r="D58" s="4">
        <f t="shared" si="0"/>
        <v>185.74115918978208</v>
      </c>
      <c r="E58" s="4">
        <f t="shared" si="3"/>
        <v>174.56256760332946</v>
      </c>
    </row>
    <row r="59" spans="1:5" x14ac:dyDescent="0.4">
      <c r="A59">
        <v>40.5</v>
      </c>
      <c r="B59" s="4">
        <f t="shared" si="1"/>
        <v>3.1902236115521356</v>
      </c>
      <c r="C59" s="4">
        <f t="shared" si="2"/>
        <v>7.2165367190066458</v>
      </c>
      <c r="D59" s="4">
        <f t="shared" si="0"/>
        <v>185.76748630508095</v>
      </c>
      <c r="E59" s="4">
        <f t="shared" si="3"/>
        <v>174.6383828945855</v>
      </c>
    </row>
    <row r="60" spans="1:5" x14ac:dyDescent="0.4">
      <c r="A60">
        <v>40.75</v>
      </c>
      <c r="B60" s="4">
        <f t="shared" si="1"/>
        <v>3.1866743644469562</v>
      </c>
      <c r="C60" s="4">
        <f t="shared" si="2"/>
        <v>7.1847926307880892</v>
      </c>
      <c r="D60" s="4">
        <f t="shared" si="0"/>
        <v>185.79312336750473</v>
      </c>
      <c r="E60" s="4">
        <f t="shared" si="3"/>
        <v>174.71297463627059</v>
      </c>
    </row>
    <row r="61" spans="1:5" x14ac:dyDescent="0.4">
      <c r="A61">
        <v>41</v>
      </c>
      <c r="B61" s="4">
        <f t="shared" si="1"/>
        <v>3.1831473554187637</v>
      </c>
      <c r="C61" s="4">
        <f t="shared" si="2"/>
        <v>7.1533886572786827</v>
      </c>
      <c r="D61" s="4">
        <f t="shared" si="0"/>
        <v>185.81808386108057</v>
      </c>
      <c r="E61" s="4">
        <f t="shared" si="3"/>
        <v>174.78636529549166</v>
      </c>
    </row>
    <row r="62" spans="1:5" x14ac:dyDescent="0.4">
      <c r="A62">
        <v>41.25</v>
      </c>
      <c r="B62" s="4">
        <f t="shared" si="1"/>
        <v>3.1796423070948601</v>
      </c>
      <c r="C62" s="4">
        <f t="shared" si="2"/>
        <v>7.1223191064206883</v>
      </c>
      <c r="D62" s="4">
        <f t="shared" si="0"/>
        <v>185.84238094225944</v>
      </c>
      <c r="E62" s="4">
        <f t="shared" si="3"/>
        <v>174.85857680680232</v>
      </c>
    </row>
    <row r="63" spans="1:5" x14ac:dyDescent="0.4">
      <c r="A63">
        <v>41.5</v>
      </c>
      <c r="B63" s="4">
        <f t="shared" si="1"/>
        <v>3.1761589472276639</v>
      </c>
      <c r="C63" s="4">
        <f t="shared" si="2"/>
        <v>7.0915784152542063</v>
      </c>
      <c r="D63" s="4">
        <f t="shared" si="0"/>
        <v>185.8660274496568</v>
      </c>
      <c r="E63" s="4">
        <f t="shared" si="3"/>
        <v>174.92963058783013</v>
      </c>
    </row>
    <row r="64" spans="1:5" x14ac:dyDescent="0.4">
      <c r="A64">
        <v>41.75</v>
      </c>
      <c r="B64" s="4">
        <f t="shared" si="1"/>
        <v>3.172697008569684</v>
      </c>
      <c r="C64" s="4">
        <f t="shared" si="2"/>
        <v>7.0611611462316244</v>
      </c>
      <c r="D64" s="4">
        <f t="shared" si="0"/>
        <v>185.88903591344868</v>
      </c>
      <c r="E64" s="4">
        <f t="shared" si="3"/>
        <v>174.9995475543565</v>
      </c>
    </row>
    <row r="65" spans="1:5" x14ac:dyDescent="0.4">
      <c r="A65">
        <v>42</v>
      </c>
      <c r="B65" s="4">
        <f t="shared" si="1"/>
        <v>3.1692562287522761</v>
      </c>
      <c r="C65" s="4">
        <f t="shared" si="2"/>
        <v>7.0310619836587005</v>
      </c>
      <c r="D65" s="4">
        <f t="shared" si="0"/>
        <v>185.91141856443792</v>
      </c>
      <c r="E65" s="4">
        <f t="shared" si="3"/>
        <v>175.06834813487157</v>
      </c>
    </row>
    <row r="66" spans="1:5" x14ac:dyDescent="0.4">
      <c r="A66">
        <v>42.25</v>
      </c>
      <c r="B66" s="4">
        <f t="shared" si="1"/>
        <v>3.1658363501680453</v>
      </c>
      <c r="C66" s="4">
        <f t="shared" si="2"/>
        <v>7.0012757302571167</v>
      </c>
      <c r="D66" s="4">
        <f t="shared" si="0"/>
        <v>185.93318734280425</v>
      </c>
      <c r="E66" s="4">
        <f t="shared" si="3"/>
        <v>175.13605228462512</v>
      </c>
    </row>
    <row r="67" spans="1:5" x14ac:dyDescent="0.4">
      <c r="A67">
        <v>42.5</v>
      </c>
      <c r="B67" s="4">
        <f t="shared" si="1"/>
        <v>3.1624371198567598</v>
      </c>
      <c r="C67" s="4">
        <f t="shared" si="2"/>
        <v>6.9717973038437009</v>
      </c>
      <c r="D67" s="4">
        <f t="shared" si="0"/>
        <v>185.95435390655027</v>
      </c>
      <c r="E67" s="4">
        <f t="shared" si="3"/>
        <v>175.20267949919409</v>
      </c>
    </row>
    <row r="68" spans="1:5" x14ac:dyDescent="0.4">
      <c r="A68">
        <v>42.75</v>
      </c>
      <c r="B68" s="4">
        <f t="shared" si="1"/>
        <v>3.1590582893946499</v>
      </c>
      <c r="C68" s="4">
        <f t="shared" si="2"/>
        <v>6.9426217341216976</v>
      </c>
      <c r="D68" s="4">
        <f t="shared" si="0"/>
        <v>185.97492963965593</v>
      </c>
      <c r="E68" s="4">
        <f t="shared" si="3"/>
        <v>175.26824882758501</v>
      </c>
    </row>
    <row r="69" spans="1:5" x14ac:dyDescent="0.4">
      <c r="A69">
        <v>43</v>
      </c>
      <c r="B69" s="4">
        <f t="shared" si="1"/>
        <v>3.1556996147869838</v>
      </c>
      <c r="C69" s="4">
        <f t="shared" si="2"/>
        <v>6.9137441595796663</v>
      </c>
      <c r="D69" s="4">
        <f t="shared" si="0"/>
        <v>185.99492565995357</v>
      </c>
      <c r="E69" s="4">
        <f t="shared" si="3"/>
        <v>175.33277888489189</v>
      </c>
    </row>
    <row r="70" spans="1:5" x14ac:dyDescent="0.4">
      <c r="A70">
        <v>43.25</v>
      </c>
      <c r="B70" s="4">
        <f t="shared" si="1"/>
        <v>3.1523608563637904</v>
      </c>
      <c r="C70" s="4">
        <f t="shared" si="2"/>
        <v>6.8851598244938117</v>
      </c>
      <c r="D70" s="4">
        <f t="shared" si="0"/>
        <v>186.01435282673378</v>
      </c>
      <c r="E70" s="4">
        <f t="shared" si="3"/>
        <v>175.39628786452465</v>
      </c>
    </row>
    <row r="71" spans="1:5" x14ac:dyDescent="0.4">
      <c r="A71">
        <v>43.5</v>
      </c>
      <c r="B71" s="4">
        <f t="shared" si="1"/>
        <v>3.1490417786786229</v>
      </c>
      <c r="C71" s="4">
        <f t="shared" si="2"/>
        <v>6.8568640760296438</v>
      </c>
      <c r="D71" s="4">
        <f t="shared" si="0"/>
        <v>186.03322174809344</v>
      </c>
      <c r="E71" s="4">
        <f t="shared" si="3"/>
        <v>175.45879355002708</v>
      </c>
    </row>
    <row r="72" spans="1:5" x14ac:dyDescent="0.4">
      <c r="A72">
        <v>43.75</v>
      </c>
      <c r="B72" s="4">
        <f t="shared" si="1"/>
        <v>3.1457421504102734</v>
      </c>
      <c r="C72" s="4">
        <f t="shared" si="2"/>
        <v>6.8288523614393064</v>
      </c>
      <c r="D72" s="4">
        <f t="shared" si="0"/>
        <v>186.0515427880355</v>
      </c>
      <c r="E72" s="4">
        <f t="shared" si="3"/>
        <v>175.52031332649884</v>
      </c>
    </row>
    <row r="73" spans="1:5" x14ac:dyDescent="0.4">
      <c r="A73">
        <v>44</v>
      </c>
      <c r="B73" s="4">
        <f t="shared" si="1"/>
        <v>3.1424617442673037</v>
      </c>
      <c r="C73" s="4">
        <f t="shared" si="2"/>
        <v>6.8011202253506369</v>
      </c>
      <c r="D73" s="4">
        <f t="shared" si="0"/>
        <v>186.06932607333107</v>
      </c>
      <c r="E73" s="4">
        <f t="shared" si="3"/>
        <v>175.58086419163803</v>
      </c>
    </row>
    <row r="74" spans="1:5" x14ac:dyDescent="0.4">
      <c r="A74">
        <v>44.25</v>
      </c>
      <c r="B74" s="4">
        <f t="shared" si="1"/>
        <v>3.1392003368953318</v>
      </c>
      <c r="C74" s="4">
        <f t="shared" si="2"/>
        <v>6.773663307144691</v>
      </c>
      <c r="D74" s="4">
        <f t="shared" si="0"/>
        <v>186.08658150015185</v>
      </c>
      <c r="E74" s="4">
        <f t="shared" si="3"/>
        <v>175.64046276641824</v>
      </c>
    </row>
    <row r="75" spans="1:5" x14ac:dyDescent="0.4">
      <c r="A75">
        <v>44.5</v>
      </c>
      <c r="B75" s="4">
        <f t="shared" si="1"/>
        <v>3.135957708786957</v>
      </c>
      <c r="C75" s="4">
        <f t="shared" si="2"/>
        <v>6.7464773384182282</v>
      </c>
      <c r="D75" s="4">
        <f t="shared" si="0"/>
        <v>186.10331874048305</v>
      </c>
      <c r="E75" s="4">
        <f t="shared" si="3"/>
        <v>175.69912530541447</v>
      </c>
    </row>
    <row r="76" spans="1:5" x14ac:dyDescent="0.4">
      <c r="A76">
        <v>44.75</v>
      </c>
      <c r="B76" s="4">
        <f t="shared" si="1"/>
        <v>3.1327336441942366</v>
      </c>
      <c r="C76" s="4">
        <f t="shared" si="2"/>
        <v>6.7195581405279494</v>
      </c>
      <c r="D76" s="4">
        <f t="shared" si="0"/>
        <v>186.11954724832407</v>
      </c>
      <c r="E76" s="4">
        <f t="shared" si="3"/>
        <v>175.75686770679104</v>
      </c>
    </row>
    <row r="77" spans="1:5" x14ac:dyDescent="0.4">
      <c r="A77">
        <v>45</v>
      </c>
      <c r="B77" s="4">
        <f t="shared" si="1"/>
        <v>3.1295279310436372</v>
      </c>
      <c r="C77" s="4">
        <f t="shared" si="2"/>
        <v>6.6929016222134772</v>
      </c>
      <c r="D77" s="4">
        <f t="shared" si="0"/>
        <v>186.13527626568612</v>
      </c>
      <c r="E77" s="4">
        <f t="shared" si="3"/>
        <v>175.81370552196526</v>
      </c>
    </row>
    <row r="78" spans="1:5" x14ac:dyDescent="0.4">
      <c r="A78">
        <v>45.25</v>
      </c>
      <c r="B78" s="4">
        <f t="shared" si="1"/>
        <v>3.1263403608533675</v>
      </c>
      <c r="C78" s="4">
        <f t="shared" si="2"/>
        <v>6.6665037772961036</v>
      </c>
      <c r="D78" s="4">
        <f t="shared" si="0"/>
        <v>186.15051482839357</v>
      </c>
      <c r="E78" s="4">
        <f t="shared" si="3"/>
        <v>175.86965396495722</v>
      </c>
    </row>
    <row r="79" spans="1:5" x14ac:dyDescent="0.4">
      <c r="A79">
        <v>45.5</v>
      </c>
      <c r="B79" s="4">
        <f t="shared" si="1"/>
        <v>3.1231707286530237</v>
      </c>
      <c r="C79" s="4">
        <f t="shared" si="2"/>
        <v>6.6403606824504493</v>
      </c>
      <c r="D79" s="4">
        <f t="shared" ref="D79:D142" si="8">$B$6*$B$12/9.81*($B$9*SQRT(2/($B$9-1)*(2/($B$9+1))^(($B$9+1)/($B$9-1))*(1 - (A79/$B$3)^(($B$9-1)/$B$9))) + C79/$B$3*(A79 - $E$5))</f>
        <v>186.16527177169701</v>
      </c>
      <c r="E79" s="4">
        <f t="shared" si="3"/>
        <v>175.92472792143977</v>
      </c>
    </row>
    <row r="80" spans="1:5" x14ac:dyDescent="0.4">
      <c r="A80">
        <v>45.75</v>
      </c>
      <c r="B80" s="4">
        <f t="shared" ref="B80:B143" si="9">SQRT(2/($B$9-1)*((A80/$B$3)^((1-$B$9)/$B$9) - 1))</f>
        <v>3.1200188329054539</v>
      </c>
      <c r="C80" s="4">
        <f t="shared" ref="C80:C143" si="10">1/B80*(2/($B$9+1)*(1 + ($B$9-1)/2*B80^2))^(($B$9+1)/(2*$B$9-2))</f>
        <v>6.6144684950463928</v>
      </c>
      <c r="D80" s="4">
        <f t="shared" si="8"/>
        <v>186.17955573570541</v>
      </c>
      <c r="E80" s="4">
        <f t="shared" ref="E80:E143" si="11">$B$6*$B$12/9.81*($B$9*SQRT(2/($B$9-1)*(2/($B$9+1))^(($B$9+1)/($B$9-1))*(1 - (A80/$B$3)^(($B$9-1)/$B$9))) + C80/$B$3*(A80 - $E$4))</f>
        <v>175.97894195749848</v>
      </c>
    </row>
    <row r="81" spans="1:5" x14ac:dyDescent="0.4">
      <c r="A81">
        <v>46</v>
      </c>
      <c r="B81" s="4">
        <f t="shared" si="9"/>
        <v>3.1168844754307852</v>
      </c>
      <c r="C81" s="4">
        <f t="shared" si="10"/>
        <v>6.5888234510585928</v>
      </c>
      <c r="D81" s="4">
        <f t="shared" si="8"/>
        <v>186.1933751706429</v>
      </c>
      <c r="E81" s="4">
        <f t="shared" si="11"/>
        <v>176.03231032811246</v>
      </c>
    </row>
    <row r="82" spans="1:5" x14ac:dyDescent="0.4">
      <c r="A82">
        <v>46.25</v>
      </c>
      <c r="B82" s="4">
        <f t="shared" si="9"/>
        <v>3.1137674613325403</v>
      </c>
      <c r="C82" s="4">
        <f t="shared" si="10"/>
        <v>6.5634218630413406</v>
      </c>
      <c r="D82" s="4">
        <f t="shared" si="8"/>
        <v>186.20673834193823</v>
      </c>
      <c r="E82" s="4">
        <f t="shared" si="11"/>
        <v>176.08484698536682</v>
      </c>
    </row>
    <row r="83" spans="1:5" x14ac:dyDescent="0.4">
      <c r="A83">
        <v>46.5</v>
      </c>
      <c r="B83" s="4">
        <f t="shared" si="9"/>
        <v>3.1106675989257595</v>
      </c>
      <c r="C83" s="4">
        <f t="shared" si="10"/>
        <v>6.5382601181660691</v>
      </c>
      <c r="D83" s="4">
        <f t="shared" si="8"/>
        <v>186.21965333515192</v>
      </c>
      <c r="E83" s="4">
        <f t="shared" si="11"/>
        <v>176.13656558640639</v>
      </c>
    </row>
    <row r="84" spans="1:5" x14ac:dyDescent="0.4">
      <c r="A84">
        <v>46.75</v>
      </c>
      <c r="B84" s="4">
        <f t="shared" si="9"/>
        <v>3.10758469966708</v>
      </c>
      <c r="C84" s="4">
        <f t="shared" si="10"/>
        <v>6.5133346763194435</v>
      </c>
      <c r="D84" s="4">
        <f t="shared" si="8"/>
        <v>186.23212806074798</v>
      </c>
      <c r="E84" s="4">
        <f t="shared" si="11"/>
        <v>176.18747950114047</v>
      </c>
    </row>
    <row r="85" spans="1:5" x14ac:dyDescent="0.4">
      <c r="A85">
        <v>47</v>
      </c>
      <c r="B85" s="4">
        <f t="shared" si="9"/>
        <v>3.1045185780867044</v>
      </c>
      <c r="C85" s="4">
        <f t="shared" si="10"/>
        <v>6.4886420682598844</v>
      </c>
      <c r="D85" s="4">
        <f t="shared" si="8"/>
        <v>186.24417025871509</v>
      </c>
      <c r="E85" s="4">
        <f t="shared" si="11"/>
        <v>176.23760181970695</v>
      </c>
    </row>
    <row r="86" spans="1:5" x14ac:dyDescent="0.4">
      <c r="A86">
        <v>47.25</v>
      </c>
      <c r="B86" s="4">
        <f t="shared" si="9"/>
        <v>3.1014690517221961</v>
      </c>
      <c r="C86" s="4">
        <f t="shared" si="10"/>
        <v>6.4641788938302511</v>
      </c>
      <c r="D86" s="4">
        <f t="shared" si="8"/>
        <v>186.25578750304319</v>
      </c>
      <c r="E86" s="4">
        <f t="shared" si="11"/>
        <v>176.2869453597053</v>
      </c>
    </row>
    <row r="87" spans="1:5" x14ac:dyDescent="0.4">
      <c r="A87">
        <v>47.5</v>
      </c>
      <c r="B87" s="4">
        <f t="shared" si="9"/>
        <v>3.0984359410540412</v>
      </c>
      <c r="C87" s="4">
        <f t="shared" si="10"/>
        <v>6.4399418202248562</v>
      </c>
      <c r="D87" s="4">
        <f t="shared" si="8"/>
        <v>186.26698720606075</v>
      </c>
      <c r="E87" s="4">
        <f t="shared" si="11"/>
        <v>176.33552267320627</v>
      </c>
    </row>
    <row r="88" spans="1:5" x14ac:dyDescent="0.4">
      <c r="A88">
        <v>47.75</v>
      </c>
      <c r="B88" s="4">
        <f t="shared" si="9"/>
        <v>3.09541906944292</v>
      </c>
      <c r="C88" s="4">
        <f t="shared" si="10"/>
        <v>6.4159275803087628</v>
      </c>
      <c r="D88" s="4">
        <f t="shared" si="8"/>
        <v>186.27777662263767</v>
      </c>
      <c r="E88" s="4">
        <f t="shared" si="11"/>
        <v>176.38334605354683</v>
      </c>
    </row>
    <row r="89" spans="1:5" x14ac:dyDescent="0.4">
      <c r="A89">
        <v>48</v>
      </c>
      <c r="B89" s="4">
        <f t="shared" si="9"/>
        <v>3.0924182630686485</v>
      </c>
      <c r="C89" s="4">
        <f t="shared" si="10"/>
        <v>6.3921329709876478</v>
      </c>
      <c r="D89" s="4">
        <f t="shared" si="8"/>
        <v>186.28816285425833</v>
      </c>
      <c r="E89" s="4">
        <f t="shared" si="11"/>
        <v>176.43042754191711</v>
      </c>
    </row>
    <row r="90" spans="1:5" x14ac:dyDescent="0.4">
      <c r="A90">
        <v>48.25</v>
      </c>
      <c r="B90" s="4">
        <f t="shared" si="9"/>
        <v>3.0894333508707139</v>
      </c>
      <c r="C90" s="4">
        <f t="shared" si="10"/>
        <v>6.3685548516263042</v>
      </c>
      <c r="D90" s="4">
        <f t="shared" si="8"/>
        <v>186.29815285296996</v>
      </c>
      <c r="E90" s="4">
        <f t="shared" si="11"/>
        <v>176.47677893374774</v>
      </c>
    </row>
    <row r="91" spans="1:5" x14ac:dyDescent="0.4">
      <c r="A91">
        <v>48.5</v>
      </c>
      <c r="B91" s="4">
        <f t="shared" si="9"/>
        <v>3.0864641644903679</v>
      </c>
      <c r="C91" s="4">
        <f t="shared" si="10"/>
        <v>6.3451901425142303</v>
      </c>
      <c r="D91" s="4">
        <f t="shared" si="8"/>
        <v>186.30775342521045</v>
      </c>
      <c r="E91" s="4">
        <f t="shared" si="11"/>
        <v>176.52241178490388</v>
      </c>
    </row>
    <row r="92" spans="1:5" x14ac:dyDescent="0.4">
      <c r="A92">
        <v>48.75</v>
      </c>
      <c r="B92" s="4">
        <f t="shared" si="9"/>
        <v>3.0835105382142349</v>
      </c>
      <c r="C92" s="4">
        <f t="shared" si="10"/>
        <v>6.3220358233765506</v>
      </c>
      <c r="D92" s="4">
        <f t="shared" si="8"/>
        <v>186.31697123551967</v>
      </c>
      <c r="E92" s="4">
        <f t="shared" si="11"/>
        <v>176.5673374176931</v>
      </c>
    </row>
    <row r="93" spans="1:5" x14ac:dyDescent="0.4">
      <c r="A93">
        <v>49</v>
      </c>
      <c r="B93" s="4">
        <f t="shared" si="9"/>
        <v>3.0805723089193733</v>
      </c>
      <c r="C93" s="4">
        <f t="shared" si="10"/>
        <v>6.2990889319288526</v>
      </c>
      <c r="D93" s="4">
        <f t="shared" si="8"/>
        <v>186.32581281013893</v>
      </c>
      <c r="E93" s="4">
        <f t="shared" si="11"/>
        <v>176.61156692669346</v>
      </c>
    </row>
    <row r="94" spans="1:5" x14ac:dyDescent="0.4">
      <c r="A94">
        <v>49.25</v>
      </c>
      <c r="B94" s="4">
        <f t="shared" si="9"/>
        <v>3.0776493160197487</v>
      </c>
      <c r="C94" s="4">
        <f t="shared" si="10"/>
        <v>6.2763465624741643</v>
      </c>
      <c r="D94" s="4">
        <f t="shared" si="8"/>
        <v>186.3342845405021</v>
      </c>
      <c r="E94" s="4">
        <f t="shared" si="11"/>
        <v>176.65511118440821</v>
      </c>
    </row>
    <row r="95" spans="1:5" x14ac:dyDescent="0.4">
      <c r="A95">
        <v>49.5</v>
      </c>
      <c r="B95" s="4">
        <f t="shared" si="9"/>
        <v>3.0747414014140926</v>
      </c>
      <c r="C95" s="4">
        <f t="shared" si="10"/>
        <v>6.2538058645410155</v>
      </c>
      <c r="D95" s="4">
        <f t="shared" si="8"/>
        <v>186.34239268662213</v>
      </c>
      <c r="E95" s="4">
        <f t="shared" si="11"/>
        <v>176.69798084675278</v>
      </c>
    </row>
    <row r="96" spans="1:5" x14ac:dyDescent="0.4">
      <c r="A96">
        <v>49.75</v>
      </c>
      <c r="B96" s="4">
        <f t="shared" si="9"/>
        <v>3.0718484094350802</v>
      </c>
      <c r="C96" s="4">
        <f t="shared" si="10"/>
        <v>6.2314640415608284</v>
      </c>
      <c r="D96" s="4">
        <f t="shared" si="8"/>
        <v>186.35014338037701</v>
      </c>
      <c r="E96" s="4">
        <f t="shared" si="11"/>
        <v>176.74018635838041</v>
      </c>
    </row>
    <row r="97" spans="1:5" x14ac:dyDescent="0.4">
      <c r="A97">
        <v>50</v>
      </c>
      <c r="B97" s="4">
        <f t="shared" si="9"/>
        <v>3.0689701867997967</v>
      </c>
      <c r="C97" s="4">
        <f t="shared" si="10"/>
        <v>6.2093183495834685</v>
      </c>
      <c r="D97" s="4">
        <f t="shared" si="8"/>
        <v>186.35754262869796</v>
      </c>
      <c r="E97" s="4">
        <f t="shared" si="11"/>
        <v>176.78173795785113</v>
      </c>
    </row>
    <row r="98" spans="1:5" x14ac:dyDescent="0.4">
      <c r="A98">
        <v>50.25</v>
      </c>
      <c r="B98" s="4">
        <f t="shared" si="9"/>
        <v>3.0661065825614613</v>
      </c>
      <c r="C98" s="4">
        <f t="shared" si="10"/>
        <v>6.1873660960297023</v>
      </c>
      <c r="D98" s="4">
        <f t="shared" si="8"/>
        <v>186.36459631666398</v>
      </c>
      <c r="E98" s="4">
        <f t="shared" si="11"/>
        <v>176.82264568265035</v>
      </c>
    </row>
    <row r="99" spans="1:5" x14ac:dyDescent="0.4">
      <c r="A99">
        <v>50.5</v>
      </c>
      <c r="B99" s="4">
        <f t="shared" si="9"/>
        <v>3.0632574480623611</v>
      </c>
      <c r="C99" s="4">
        <f t="shared" si="10"/>
        <v>6.1656046384792749</v>
      </c>
      <c r="D99" s="4">
        <f t="shared" si="8"/>
        <v>186.37131021050527</v>
      </c>
      <c r="E99" s="4">
        <f t="shared" si="11"/>
        <v>176.86291937406099</v>
      </c>
    </row>
    <row r="100" spans="1:5" x14ac:dyDescent="0.4">
      <c r="A100">
        <v>50.75</v>
      </c>
      <c r="B100" s="4">
        <f t="shared" si="9"/>
        <v>3.0604226368879588</v>
      </c>
      <c r="C100" s="4">
        <f t="shared" si="10"/>
        <v>6.1440313834933242</v>
      </c>
      <c r="D100" s="4">
        <f t="shared" si="8"/>
        <v>186.37768996051923</v>
      </c>
      <c r="E100" s="4">
        <f t="shared" si="11"/>
        <v>176.90256868189587</v>
      </c>
    </row>
    <row r="101" spans="1:5" x14ac:dyDescent="0.4">
      <c r="A101">
        <v>51</v>
      </c>
      <c r="B101" s="4">
        <f t="shared" si="9"/>
        <v>3.0576020048221477</v>
      </c>
      <c r="C101" s="4">
        <f t="shared" si="10"/>
        <v>6.1226437854702525</v>
      </c>
      <c r="D101" s="4">
        <f t="shared" si="8"/>
        <v>186.3837411039014</v>
      </c>
      <c r="E101" s="4">
        <f t="shared" si="11"/>
        <v>176.94160306909276</v>
      </c>
    </row>
    <row r="102" spans="1:5" x14ac:dyDescent="0.4">
      <c r="A102">
        <v>51.25</v>
      </c>
      <c r="B102" s="4">
        <f t="shared" si="9"/>
        <v>3.054795409803607</v>
      </c>
      <c r="C102" s="4">
        <f t="shared" si="10"/>
        <v>6.1014393455336116</v>
      </c>
      <c r="D102" s="4">
        <f t="shared" si="8"/>
        <v>186.38946906749464</v>
      </c>
      <c r="E102" s="4">
        <f t="shared" si="11"/>
        <v>176.98003181617889</v>
      </c>
    </row>
    <row r="103" spans="1:5" x14ac:dyDescent="0.4">
      <c r="A103">
        <v>51.5</v>
      </c>
      <c r="B103" s="4">
        <f t="shared" si="9"/>
        <v>3.0520027118832385</v>
      </c>
      <c r="C103" s="4">
        <f t="shared" si="10"/>
        <v>6.0804156104512543</v>
      </c>
      <c r="D103" s="4">
        <f t="shared" si="8"/>
        <v>186.39487917045921</v>
      </c>
      <c r="E103" s="4">
        <f t="shared" si="11"/>
        <v>177.01786402560762</v>
      </c>
    </row>
    <row r="104" spans="1:5" x14ac:dyDescent="0.4">
      <c r="A104">
        <v>51.75</v>
      </c>
      <c r="B104" s="4">
        <f t="shared" si="9"/>
        <v>3.0492237731826459</v>
      </c>
      <c r="C104" s="4">
        <f t="shared" si="10"/>
        <v>6.0595701715845625</v>
      </c>
      <c r="D104" s="4">
        <f t="shared" si="8"/>
        <v>186.39997662686588</v>
      </c>
      <c r="E104" s="4">
        <f t="shared" si="11"/>
        <v>177.05510862597237</v>
      </c>
    </row>
    <row r="105" spans="1:5" x14ac:dyDescent="0.4">
      <c r="A105">
        <v>52</v>
      </c>
      <c r="B105" s="4">
        <f t="shared" si="9"/>
        <v>3.0464584578536216</v>
      </c>
      <c r="C105" s="4">
        <f t="shared" si="10"/>
        <v>6.0389006638667651</v>
      </c>
      <c r="D105" s="4">
        <f t="shared" si="8"/>
        <v>186.404766548216</v>
      </c>
      <c r="E105" s="4">
        <f t="shared" si="11"/>
        <v>177.09177437610191</v>
      </c>
    </row>
    <row r="106" spans="1:5" x14ac:dyDescent="0.4">
      <c r="A106">
        <v>52.25</v>
      </c>
      <c r="B106" s="4">
        <f t="shared" si="9"/>
        <v>3.0437066320386239</v>
      </c>
      <c r="C106" s="4">
        <f t="shared" si="10"/>
        <v>6.0184047648095209</v>
      </c>
      <c r="D106" s="4">
        <f t="shared" si="8"/>
        <v>186.40925394588893</v>
      </c>
      <c r="E106" s="4">
        <f t="shared" si="11"/>
        <v>177.12786986904007</v>
      </c>
    </row>
    <row r="107" spans="1:5" x14ac:dyDescent="0.4">
      <c r="A107">
        <v>52.5</v>
      </c>
      <c r="B107" s="4">
        <f t="shared" si="9"/>
        <v>3.0409681638322068</v>
      </c>
      <c r="C107" s="4">
        <f t="shared" si="10"/>
        <v>5.9980801935367563</v>
      </c>
      <c r="D107" s="4">
        <f t="shared" si="8"/>
        <v>186.41344373352092</v>
      </c>
      <c r="E107" s="4">
        <f t="shared" si="11"/>
        <v>177.1634035359144</v>
      </c>
    </row>
    <row r="108" spans="1:5" x14ac:dyDescent="0.4">
      <c r="A108">
        <v>52.75</v>
      </c>
      <c r="B108" s="4">
        <f t="shared" si="9"/>
        <v>3.0382429232433719</v>
      </c>
      <c r="C108" s="4">
        <f t="shared" si="10"/>
        <v>5.977924709844844</v>
      </c>
      <c r="D108" s="4">
        <f t="shared" si="8"/>
        <v>186.41734072931698</v>
      </c>
      <c r="E108" s="4">
        <f t="shared" si="11"/>
        <v>177.19838364969766</v>
      </c>
    </row>
    <row r="109" spans="1:5" x14ac:dyDescent="0.4">
      <c r="A109">
        <v>53</v>
      </c>
      <c r="B109" s="4">
        <f t="shared" si="9"/>
        <v>3.0355307821588329</v>
      </c>
      <c r="C109" s="4">
        <f t="shared" si="10"/>
        <v>5.9579361132885085</v>
      </c>
      <c r="D109" s="4">
        <f t="shared" si="8"/>
        <v>186.42094965829787</v>
      </c>
      <c r="E109" s="4">
        <f t="shared" si="11"/>
        <v>177.23281832886425</v>
      </c>
    </row>
    <row r="110" spans="1:5" x14ac:dyDescent="0.4">
      <c r="A110">
        <v>53.25</v>
      </c>
      <c r="B110" s="4">
        <f t="shared" si="9"/>
        <v>3.0328316143071437</v>
      </c>
      <c r="C110" s="4">
        <f t="shared" si="10"/>
        <v>5.9381122422912958</v>
      </c>
      <c r="D110" s="4">
        <f t="shared" si="8"/>
        <v>186.4242751544846</v>
      </c>
      <c r="E110" s="4">
        <f t="shared" si="11"/>
        <v>177.26671554094668</v>
      </c>
    </row>
    <row r="111" spans="1:5" x14ac:dyDescent="0.4">
      <c r="A111">
        <v>53.5</v>
      </c>
      <c r="B111" s="4">
        <f t="shared" si="9"/>
        <v>3.0301452952236825</v>
      </c>
      <c r="C111" s="4">
        <f t="shared" si="10"/>
        <v>5.9184509732801596</v>
      </c>
      <c r="D111" s="4">
        <f t="shared" si="8"/>
        <v>186.42732176302201</v>
      </c>
      <c r="E111" s="4">
        <f t="shared" si="11"/>
        <v>177.30008310599359</v>
      </c>
    </row>
    <row r="112" spans="1:5" x14ac:dyDescent="0.4">
      <c r="A112">
        <v>53.75</v>
      </c>
      <c r="B112" s="4">
        <f t="shared" si="9"/>
        <v>3.0274717022164617</v>
      </c>
      <c r="C112" s="4">
        <f t="shared" si="10"/>
        <v>5.89895021984315</v>
      </c>
      <c r="D112" s="4">
        <f t="shared" si="8"/>
        <v>186.43009394224413</v>
      </c>
      <c r="E112" s="4">
        <f t="shared" si="11"/>
        <v>177.33292869993443</v>
      </c>
    </row>
    <row r="113" spans="1:5" x14ac:dyDescent="0.4">
      <c r="A113">
        <v>54</v>
      </c>
      <c r="B113" s="4">
        <f t="shared" si="9"/>
        <v>3.0248107143327414</v>
      </c>
      <c r="C113" s="4">
        <f t="shared" si="10"/>
        <v>5.8796079319097156</v>
      </c>
      <c r="D113" s="4">
        <f t="shared" si="8"/>
        <v>186.43259606568236</v>
      </c>
      <c r="E113" s="4">
        <f t="shared" si="11"/>
        <v>177.36525985785113</v>
      </c>
    </row>
    <row r="114" spans="1:5" x14ac:dyDescent="0.4">
      <c r="A114">
        <v>54.25</v>
      </c>
      <c r="B114" s="4">
        <f t="shared" si="9"/>
        <v>3.0221622123264207</v>
      </c>
      <c r="C114" s="4">
        <f t="shared" si="10"/>
        <v>5.8604220949526633</v>
      </c>
      <c r="D114" s="4">
        <f t="shared" si="8"/>
        <v>186.43483242401871</v>
      </c>
      <c r="E114" s="4">
        <f t="shared" si="11"/>
        <v>177.39708397716288</v>
      </c>
    </row>
    <row r="115" spans="1:5" x14ac:dyDescent="0.4">
      <c r="A115">
        <v>54.5</v>
      </c>
      <c r="B115" s="4">
        <f t="shared" si="9"/>
        <v>3.0195260786261908</v>
      </c>
      <c r="C115" s="4">
        <f t="shared" si="10"/>
        <v>5.8413907292112937</v>
      </c>
      <c r="D115" s="4">
        <f t="shared" si="8"/>
        <v>186.43680722698591</v>
      </c>
      <c r="E115" s="4">
        <f t="shared" si="11"/>
        <v>177.42840832072352</v>
      </c>
    </row>
    <row r="116" spans="1:5" x14ac:dyDescent="0.4">
      <c r="A116">
        <v>54.75</v>
      </c>
      <c r="B116" s="4">
        <f t="shared" si="9"/>
        <v>3.0169021973044252</v>
      </c>
      <c r="C116" s="4">
        <f t="shared" si="10"/>
        <v>5.8225118889350247</v>
      </c>
      <c r="D116" s="4">
        <f t="shared" si="8"/>
        <v>186.43852460521603</v>
      </c>
      <c r="E116" s="4">
        <f t="shared" si="11"/>
        <v>177.45924001983715</v>
      </c>
    </row>
    <row r="117" spans="1:5" x14ac:dyDescent="0.4">
      <c r="A117">
        <v>55</v>
      </c>
      <c r="B117" s="4">
        <f t="shared" si="9"/>
        <v>3.0142904540467854</v>
      </c>
      <c r="C117" s="4">
        <f t="shared" si="10"/>
        <v>5.8037836616467349</v>
      </c>
      <c r="D117" s="4">
        <f t="shared" si="8"/>
        <v>186.43998861203889</v>
      </c>
      <c r="E117" s="4">
        <f t="shared" si="11"/>
        <v>177.48958607719231</v>
      </c>
    </row>
    <row r="118" spans="1:5" x14ac:dyDescent="0.4">
      <c r="A118">
        <v>55.25</v>
      </c>
      <c r="B118" s="4">
        <f t="shared" si="9"/>
        <v>3.0116907361225249</v>
      </c>
      <c r="C118" s="4">
        <f t="shared" si="10"/>
        <v>5.7852041674254604</v>
      </c>
      <c r="D118" s="4">
        <f t="shared" si="8"/>
        <v>186.44120322523202</v>
      </c>
      <c r="E118" s="4">
        <f t="shared" si="11"/>
        <v>177.51945336971829</v>
      </c>
    </row>
    <row r="119" spans="1:5" x14ac:dyDescent="0.4">
      <c r="A119">
        <v>55.5</v>
      </c>
      <c r="B119" s="4">
        <f t="shared" si="9"/>
        <v>3.0091029323554772</v>
      </c>
      <c r="C119" s="4">
        <f t="shared" si="10"/>
        <v>5.7667715582076422</v>
      </c>
      <c r="D119" s="4">
        <f t="shared" si="8"/>
        <v>186.44217234872437</v>
      </c>
      <c r="E119" s="4">
        <f t="shared" si="11"/>
        <v>177.54884865136626</v>
      </c>
    </row>
    <row r="120" spans="1:5" x14ac:dyDescent="0.4">
      <c r="A120">
        <v>55.75</v>
      </c>
      <c r="B120" s="4">
        <f t="shared" si="9"/>
        <v>3.0065269330956919</v>
      </c>
      <c r="C120" s="4">
        <f t="shared" si="10"/>
        <v>5.7484840171064295</v>
      </c>
      <c r="D120" s="4">
        <f t="shared" si="8"/>
        <v>186.44289981425379</v>
      </c>
      <c r="E120" s="4">
        <f t="shared" si="11"/>
        <v>177.57777855581671</v>
      </c>
    </row>
    <row r="121" spans="1:5" x14ac:dyDescent="0.4">
      <c r="A121">
        <v>56</v>
      </c>
      <c r="B121" s="4">
        <f t="shared" si="9"/>
        <v>3.0039626301917273</v>
      </c>
      <c r="C121" s="4">
        <f t="shared" si="10"/>
        <v>5.7303397577485953</v>
      </c>
      <c r="D121" s="4">
        <f t="shared" si="8"/>
        <v>186.44338938298088</v>
      </c>
      <c r="E121" s="4">
        <f t="shared" si="11"/>
        <v>177.60624959911573</v>
      </c>
    </row>
    <row r="122" spans="1:5" x14ac:dyDescent="0.4">
      <c r="A122">
        <v>56.25</v>
      </c>
      <c r="B122" s="4">
        <f t="shared" si="9"/>
        <v>3.0014099169635537</v>
      </c>
      <c r="C122" s="4">
        <f t="shared" si="10"/>
        <v>5.7123370236283266</v>
      </c>
      <c r="D122" s="4">
        <f t="shared" si="8"/>
        <v>186.44364474706038</v>
      </c>
      <c r="E122" s="4">
        <f t="shared" si="11"/>
        <v>177.63426818224298</v>
      </c>
    </row>
    <row r="123" spans="1:5" x14ac:dyDescent="0.4">
      <c r="A123">
        <v>56.5</v>
      </c>
      <c r="B123" s="4">
        <f t="shared" si="9"/>
        <v>2.99886868817608</v>
      </c>
      <c r="C123" s="4">
        <f t="shared" si="10"/>
        <v>5.6944740874776532</v>
      </c>
      <c r="D123" s="4">
        <f t="shared" si="8"/>
        <v>186.44366953117054</v>
      </c>
      <c r="E123" s="4">
        <f t="shared" si="11"/>
        <v>177.66184059361214</v>
      </c>
    </row>
    <row r="124" spans="1:5" x14ac:dyDescent="0.4">
      <c r="A124">
        <v>56.75</v>
      </c>
      <c r="B124" s="4">
        <f t="shared" si="9"/>
        <v>2.9963388400132556</v>
      </c>
      <c r="C124" s="4">
        <f t="shared" si="10"/>
        <v>5.6767492506526915</v>
      </c>
      <c r="D124" s="4">
        <f t="shared" si="8"/>
        <v>186.44346729400314</v>
      </c>
      <c r="E124" s="4">
        <f t="shared" si="11"/>
        <v>177.6889730115071</v>
      </c>
    </row>
    <row r="125" spans="1:5" x14ac:dyDescent="0.4">
      <c r="A125">
        <v>57</v>
      </c>
      <c r="B125" s="4">
        <f t="shared" si="9"/>
        <v>2.9938202700527601</v>
      </c>
      <c r="C125" s="4">
        <f t="shared" si="10"/>
        <v>5.6591608425355471</v>
      </c>
      <c r="D125" s="4">
        <f t="shared" si="8"/>
        <v>186.44304152971409</v>
      </c>
      <c r="E125" s="4">
        <f t="shared" si="11"/>
        <v>177.71567150645535</v>
      </c>
    </row>
    <row r="126" spans="1:5" x14ac:dyDescent="0.4">
      <c r="A126">
        <v>57.25</v>
      </c>
      <c r="B126" s="4">
        <f t="shared" si="9"/>
        <v>2.9913128772412509</v>
      </c>
      <c r="C126" s="4">
        <f t="shared" si="10"/>
        <v>5.6417072199512459</v>
      </c>
      <c r="D126" s="4">
        <f t="shared" si="8"/>
        <v>186.44239566933655</v>
      </c>
      <c r="E126" s="4">
        <f t="shared" si="11"/>
        <v>177.74194204353989</v>
      </c>
    </row>
    <row r="127" spans="1:5" x14ac:dyDescent="0.4">
      <c r="A127">
        <v>57.5</v>
      </c>
      <c r="B127" s="4">
        <f t="shared" si="9"/>
        <v>2.9888165618701543</v>
      </c>
      <c r="C127" s="4">
        <f t="shared" si="10"/>
        <v>5.6243867665992475</v>
      </c>
      <c r="D127" s="4">
        <f t="shared" si="8"/>
        <v>186.44153308215726</v>
      </c>
      <c r="E127" s="4">
        <f t="shared" si="11"/>
        <v>177.76779048465249</v>
      </c>
    </row>
    <row r="128" spans="1:5" x14ac:dyDescent="0.4">
      <c r="A128">
        <v>57.75</v>
      </c>
      <c r="B128" s="4">
        <f t="shared" si="9"/>
        <v>2.9863312255519885</v>
      </c>
      <c r="C128" s="4">
        <f t="shared" si="10"/>
        <v>5.607197892499185</v>
      </c>
      <c r="D128" s="4">
        <f t="shared" si="8"/>
        <v>186.4404570770578</v>
      </c>
      <c r="E128" s="4">
        <f t="shared" si="11"/>
        <v>177.79322259068974</v>
      </c>
    </row>
    <row r="129" spans="1:5" x14ac:dyDescent="0.4">
      <c r="A129">
        <v>58</v>
      </c>
      <c r="B129" s="4">
        <f t="shared" si="9"/>
        <v>2.9838567711972086</v>
      </c>
      <c r="C129" s="4">
        <f t="shared" si="10"/>
        <v>5.5901390334503773</v>
      </c>
      <c r="D129" s="4">
        <f t="shared" si="8"/>
        <v>186.43917090382078</v>
      </c>
      <c r="E129" s="4">
        <f t="shared" si="11"/>
        <v>177.81824402369261</v>
      </c>
    </row>
    <row r="130" spans="1:5" x14ac:dyDescent="0.4">
      <c r="A130">
        <v>58.25</v>
      </c>
      <c r="B130" s="4">
        <f t="shared" si="9"/>
        <v>2.9813931029915479</v>
      </c>
      <c r="C130" s="4">
        <f t="shared" si="10"/>
        <v>5.5732086505046876</v>
      </c>
      <c r="D130" s="4">
        <f t="shared" si="8"/>
        <v>186.43767775440344</v>
      </c>
      <c r="E130" s="4">
        <f t="shared" si="11"/>
        <v>177.84286034893304</v>
      </c>
    </row>
    <row r="131" spans="1:5" x14ac:dyDescent="0.4">
      <c r="A131">
        <v>58.5</v>
      </c>
      <c r="B131" s="4">
        <f t="shared" si="9"/>
        <v>2.9789401263738577</v>
      </c>
      <c r="C131" s="4">
        <f t="shared" si="10"/>
        <v>5.5564052294523991</v>
      </c>
      <c r="D131" s="4">
        <f t="shared" si="8"/>
        <v>186.435980764178</v>
      </c>
      <c r="E131" s="4">
        <f t="shared" si="11"/>
        <v>177.86707703694728</v>
      </c>
    </row>
    <row r="132" spans="1:5" x14ac:dyDescent="0.4">
      <c r="A132">
        <v>58.75</v>
      </c>
      <c r="B132" s="4">
        <f t="shared" si="9"/>
        <v>2.9764977480144226</v>
      </c>
      <c r="C132" s="4">
        <f t="shared" si="10"/>
        <v>5.5397272803207178</v>
      </c>
      <c r="D132" s="4">
        <f t="shared" si="8"/>
        <v>186.43408301314113</v>
      </c>
      <c r="E132" s="4">
        <f t="shared" si="11"/>
        <v>177.89089946551852</v>
      </c>
    </row>
    <row r="133" spans="1:5" x14ac:dyDescent="0.4">
      <c r="A133">
        <v>59</v>
      </c>
      <c r="B133" s="4">
        <f t="shared" si="9"/>
        <v>2.9740658757937388</v>
      </c>
      <c r="C133" s="4">
        <f t="shared" si="10"/>
        <v>5.5231733368845086</v>
      </c>
      <c r="D133" s="4">
        <f t="shared" si="8"/>
        <v>186.43198752709267</v>
      </c>
      <c r="E133" s="4">
        <f t="shared" si="11"/>
        <v>177.91433292161037</v>
      </c>
    </row>
    <row r="134" spans="1:5" x14ac:dyDescent="0.4">
      <c r="A134">
        <v>59.25</v>
      </c>
      <c r="B134" s="4">
        <f t="shared" si="9"/>
        <v>2.9716444187817506</v>
      </c>
      <c r="C134" s="4">
        <f t="shared" si="10"/>
        <v>5.5067419561889004</v>
      </c>
      <c r="D134" s="4">
        <f t="shared" si="8"/>
        <v>186.42969727878463</v>
      </c>
      <c r="E134" s="4">
        <f t="shared" si="11"/>
        <v>177.93738260325202</v>
      </c>
    </row>
    <row r="135" spans="1:5" x14ac:dyDescent="0.4">
      <c r="A135">
        <v>59.5</v>
      </c>
      <c r="B135" s="4">
        <f t="shared" si="9"/>
        <v>2.9692332872175298</v>
      </c>
      <c r="C135" s="4">
        <f t="shared" si="10"/>
        <v>5.4904317180835482</v>
      </c>
      <c r="D135" s="4">
        <f t="shared" si="8"/>
        <v>186.4272151890417</v>
      </c>
      <c r="E135" s="4">
        <f t="shared" si="11"/>
        <v>177.96005362137677</v>
      </c>
    </row>
    <row r="136" spans="1:5" x14ac:dyDescent="0.4">
      <c r="A136">
        <v>59.75</v>
      </c>
      <c r="B136" s="4">
        <f t="shared" si="9"/>
        <v>2.9668323924893829</v>
      </c>
      <c r="C136" s="4">
        <f t="shared" si="10"/>
        <v>5.4742412247680541</v>
      </c>
      <c r="D136" s="4">
        <f t="shared" si="8"/>
        <v>186.42454412785344</v>
      </c>
      <c r="E136" s="4">
        <f t="shared" si="11"/>
        <v>177.98235100161557</v>
      </c>
    </row>
    <row r="137" spans="1:5" x14ac:dyDescent="0.4">
      <c r="A137">
        <v>60</v>
      </c>
      <c r="B137" s="4">
        <f t="shared" si="9"/>
        <v>2.9644416471153767</v>
      </c>
      <c r="C137" s="4">
        <f t="shared" si="10"/>
        <v>5.458169100348286</v>
      </c>
      <c r="D137" s="4">
        <f t="shared" si="8"/>
        <v>186.42168691543935</v>
      </c>
      <c r="E137" s="4">
        <f t="shared" si="11"/>
        <v>178.00427968604632</v>
      </c>
    </row>
    <row r="138" spans="1:5" x14ac:dyDescent="0.4">
      <c r="A138">
        <v>60.25</v>
      </c>
      <c r="B138" s="4">
        <f t="shared" si="9"/>
        <v>2.9620609647242837</v>
      </c>
      <c r="C138" s="4">
        <f t="shared" si="10"/>
        <v>5.4422139904034372</v>
      </c>
      <c r="D138" s="4">
        <f t="shared" si="8"/>
        <v>186.41864632328813</v>
      </c>
      <c r="E138" s="4">
        <f t="shared" si="11"/>
        <v>178.02584453490039</v>
      </c>
    </row>
    <row r="139" spans="1:5" x14ac:dyDescent="0.4">
      <c r="A139">
        <v>60.5</v>
      </c>
      <c r="B139" s="4">
        <f t="shared" si="9"/>
        <v>2.9596902600369157</v>
      </c>
      <c r="C139" s="4">
        <f t="shared" si="10"/>
        <v>5.4263745615632768</v>
      </c>
      <c r="D139" s="4">
        <f t="shared" si="8"/>
        <v>186.41542507517065</v>
      </c>
      <c r="E139" s="4">
        <f t="shared" si="11"/>
        <v>178.04705032822798</v>
      </c>
    </row>
    <row r="140" spans="1:5" x14ac:dyDescent="0.4">
      <c r="A140">
        <v>60.75</v>
      </c>
      <c r="B140" s="4">
        <f t="shared" si="9"/>
        <v>2.957329448847851</v>
      </c>
      <c r="C140" s="4">
        <f t="shared" si="10"/>
        <v>5.4106495010954667</v>
      </c>
      <c r="D140" s="4">
        <f t="shared" si="8"/>
        <v>186.41202584812805</v>
      </c>
      <c r="E140" s="4">
        <f t="shared" si="11"/>
        <v>178.06790176752256</v>
      </c>
    </row>
    <row r="141" spans="1:5" x14ac:dyDescent="0.4">
      <c r="A141">
        <v>61</v>
      </c>
      <c r="B141" s="4">
        <f t="shared" si="9"/>
        <v>2.9549784480075449</v>
      </c>
      <c r="C141" s="4">
        <f t="shared" si="10"/>
        <v>5.3950375165026605</v>
      </c>
      <c r="D141" s="4">
        <f t="shared" si="8"/>
        <v>186.40845127343664</v>
      </c>
      <c r="E141" s="4">
        <f t="shared" si="11"/>
        <v>178.08840347730691</v>
      </c>
    </row>
    <row r="142" spans="1:5" x14ac:dyDescent="0.4">
      <c r="A142">
        <v>61.25</v>
      </c>
      <c r="B142" s="4">
        <f t="shared" si="9"/>
        <v>2.9526371754048069</v>
      </c>
      <c r="C142" s="4">
        <f t="shared" si="10"/>
        <v>5.3795373351290907</v>
      </c>
      <c r="D142" s="4">
        <f t="shared" si="8"/>
        <v>186.40470393754791</v>
      </c>
      <c r="E142" s="4">
        <f t="shared" si="11"/>
        <v>178.10856000667997</v>
      </c>
    </row>
    <row r="143" spans="1:5" x14ac:dyDescent="0.4">
      <c r="A143">
        <v>61.5</v>
      </c>
      <c r="B143" s="4">
        <f t="shared" si="9"/>
        <v>2.9503055499496336</v>
      </c>
      <c r="C143" s="4">
        <f t="shared" si="10"/>
        <v>5.364147703776263</v>
      </c>
      <c r="D143" s="4">
        <f t="shared" ref="D143:D206" si="12">$B$6*$B$12/9.81*($B$9*SQRT(2/($B$9-1)*(2/($B$9+1))^(($B$9+1)/($B$9-1))*(1 - (A143/$B$3)^(($B$9-1)/$B$9))) + C143/$B$3*(A143 - $E$5))</f>
        <v>186.40078638300668</v>
      </c>
      <c r="E143" s="4">
        <f t="shared" si="11"/>
        <v>178.12837583082771</v>
      </c>
    </row>
    <row r="144" spans="1:5" x14ac:dyDescent="0.4">
      <c r="A144">
        <v>61.75</v>
      </c>
      <c r="B144" s="4">
        <f t="shared" ref="B144:B207" si="13">SQRT(2/($B$9-1)*((A144/$B$3)^((1-$B$9)/$B$9) - 1))</f>
        <v>2.9479834915564092</v>
      </c>
      <c r="C144" s="4">
        <f t="shared" ref="C144:C207" si="14">1/B144*(2/($B$9+1)*(1 + ($B$9-1)/2*B144^2))^(($B$9+1)/(2*$B$9-2))</f>
        <v>5.3488673883277915</v>
      </c>
      <c r="D144" s="4">
        <f t="shared" si="12"/>
        <v>186.39670110934691</v>
      </c>
      <c r="E144" s="4">
        <f t="shared" ref="E144:E207" si="15">$B$6*$B$12/9.81*($B$9*SQRT(2/($B$9-1)*(2/($B$9+1))^(($B$9+1)/($B$9-1))*(1 - (A144/$B$3)^(($B$9-1)/$B$9))) + C144/$B$3*(A144 - $E$4))</f>
        <v>178.14785535249737</v>
      </c>
    </row>
    <row r="145" spans="1:5" x14ac:dyDescent="0.4">
      <c r="A145">
        <v>62</v>
      </c>
      <c r="B145" s="4">
        <f t="shared" si="13"/>
        <v>2.9456709211274328</v>
      </c>
      <c r="C145" s="4">
        <f t="shared" si="14"/>
        <v>5.3336951733828357</v>
      </c>
      <c r="D145" s="4">
        <f t="shared" si="12"/>
        <v>186.39245057396542</v>
      </c>
      <c r="E145" s="4">
        <f t="shared" si="15"/>
        <v>178.16700290343672</v>
      </c>
    </row>
    <row r="146" spans="1:5" x14ac:dyDescent="0.4">
      <c r="A146">
        <v>62.25</v>
      </c>
      <c r="B146" s="4">
        <f t="shared" si="13"/>
        <v>2.9433677605367921</v>
      </c>
      <c r="C146" s="4">
        <f t="shared" si="14"/>
        <v>5.3186298618980672</v>
      </c>
      <c r="D146" s="4">
        <f t="shared" si="12"/>
        <v>186.38803719297556</v>
      </c>
      <c r="E146" s="4">
        <f t="shared" si="15"/>
        <v>178.1858227457995</v>
      </c>
    </row>
    <row r="147" spans="1:5" x14ac:dyDescent="0.4">
      <c r="A147">
        <v>62.5</v>
      </c>
      <c r="B147" s="4">
        <f t="shared" si="13"/>
        <v>2.9410739326145596</v>
      </c>
      <c r="C147" s="4">
        <f t="shared" si="14"/>
        <v>5.3036702748378781</v>
      </c>
      <c r="D147" s="4">
        <f t="shared" si="12"/>
        <v>186.38346334203951</v>
      </c>
      <c r="E147" s="4">
        <f t="shared" si="15"/>
        <v>178.20431907351755</v>
      </c>
    </row>
    <row r="148" spans="1:5" x14ac:dyDescent="0.4">
      <c r="A148">
        <v>62.75</v>
      </c>
      <c r="B148" s="4">
        <f t="shared" si="13"/>
        <v>2.9387893611313074</v>
      </c>
      <c r="C148" s="4">
        <f t="shared" si="14"/>
        <v>5.2888152508326511</v>
      </c>
      <c r="D148" s="4">
        <f t="shared" si="12"/>
        <v>186.37873135718144</v>
      </c>
      <c r="E148" s="4">
        <f t="shared" si="15"/>
        <v>178.22249601364064</v>
      </c>
    </row>
    <row r="149" spans="1:5" x14ac:dyDescent="0.4">
      <c r="A149">
        <v>63</v>
      </c>
      <c r="B149" s="4">
        <f t="shared" si="13"/>
        <v>2.9365139707829391</v>
      </c>
      <c r="C149" s="4">
        <f t="shared" si="14"/>
        <v>5.2740636458448114</v>
      </c>
      <c r="D149" s="4">
        <f t="shared" si="12"/>
        <v>186.37384353558124</v>
      </c>
      <c r="E149" s="4">
        <f t="shared" si="15"/>
        <v>178.24035762764549</v>
      </c>
    </row>
    <row r="150" spans="1:5" x14ac:dyDescent="0.4">
      <c r="A150">
        <v>63.25</v>
      </c>
      <c r="B150" s="4">
        <f t="shared" si="13"/>
        <v>2.9342476871758185</v>
      </c>
      <c r="C150" s="4">
        <f t="shared" si="14"/>
        <v>5.2594143328425424</v>
      </c>
      <c r="D150" s="4">
        <f t="shared" si="12"/>
        <v>186.36880213634925</v>
      </c>
      <c r="E150" s="4">
        <f t="shared" si="15"/>
        <v>178.25790791271348</v>
      </c>
    </row>
    <row r="151" spans="1:5" x14ac:dyDescent="0.4">
      <c r="A151">
        <v>63.5</v>
      </c>
      <c r="B151" s="4">
        <f t="shared" si="13"/>
        <v>2.9319904368121965</v>
      </c>
      <c r="C151" s="4">
        <f t="shared" si="14"/>
        <v>5.2448662014808054</v>
      </c>
      <c r="D151" s="4">
        <f t="shared" si="12"/>
        <v>186.36360938128303</v>
      </c>
      <c r="E151" s="4">
        <f t="shared" si="15"/>
        <v>178.27515080297943</v>
      </c>
    </row>
    <row r="152" spans="1:5" x14ac:dyDescent="0.4">
      <c r="A152">
        <v>63.75</v>
      </c>
      <c r="B152" s="4">
        <f t="shared" si="13"/>
        <v>2.9297421470759364</v>
      </c>
      <c r="C152" s="4">
        <f t="shared" si="14"/>
        <v>5.2304181577897291</v>
      </c>
      <c r="D152" s="4">
        <f t="shared" si="12"/>
        <v>186.35826745560638</v>
      </c>
      <c r="E152" s="4">
        <f t="shared" si="15"/>
        <v>178.29209017075121</v>
      </c>
    </row>
    <row r="153" spans="1:5" x14ac:dyDescent="0.4">
      <c r="A153">
        <v>64</v>
      </c>
      <c r="B153" s="4">
        <f t="shared" si="13"/>
        <v>2.9275027462185075</v>
      </c>
      <c r="C153" s="4">
        <f t="shared" si="14"/>
        <v>5.2160691238698442</v>
      </c>
      <c r="D153" s="4">
        <f t="shared" si="12"/>
        <v>186.3527785086909</v>
      </c>
      <c r="E153" s="4">
        <f t="shared" si="15"/>
        <v>178.30872982770111</v>
      </c>
    </row>
    <row r="154" spans="1:5" x14ac:dyDescent="0.4">
      <c r="A154">
        <v>64.25</v>
      </c>
      <c r="B154" s="4">
        <f t="shared" si="13"/>
        <v>2.9252721633452685</v>
      </c>
      <c r="C154" s="4">
        <f t="shared" si="14"/>
        <v>5.2018180375942835</v>
      </c>
      <c r="D154" s="4">
        <f t="shared" si="12"/>
        <v>186.34714465476085</v>
      </c>
      <c r="E154" s="4">
        <f t="shared" si="15"/>
        <v>178.32507352603028</v>
      </c>
    </row>
    <row r="155" spans="1:5" x14ac:dyDescent="0.4">
      <c r="A155">
        <v>64.5</v>
      </c>
      <c r="B155" s="4">
        <f t="shared" si="13"/>
        <v>2.9230503284020086</v>
      </c>
      <c r="C155" s="4">
        <f t="shared" si="14"/>
        <v>5.1876638523175735</v>
      </c>
      <c r="D155" s="4">
        <f t="shared" si="12"/>
        <v>186.3413679735819</v>
      </c>
      <c r="E155" s="4">
        <f t="shared" si="15"/>
        <v>178.34112495960628</v>
      </c>
    </row>
    <row r="156" spans="1:5" x14ac:dyDescent="0.4">
      <c r="A156">
        <v>64.75</v>
      </c>
      <c r="B156" s="4">
        <f t="shared" si="13"/>
        <v>2.920837172161765</v>
      </c>
      <c r="C156" s="4">
        <f t="shared" si="14"/>
        <v>5.1736055365909435</v>
      </c>
      <c r="D156" s="4">
        <f t="shared" si="12"/>
        <v>186.3354505111335</v>
      </c>
      <c r="E156" s="4">
        <f t="shared" si="15"/>
        <v>178.35688776507462</v>
      </c>
    </row>
    <row r="157" spans="1:5" x14ac:dyDescent="0.4">
      <c r="A157">
        <v>65</v>
      </c>
      <c r="B157" s="4">
        <f t="shared" si="13"/>
        <v>2.9186326262118829</v>
      </c>
      <c r="C157" s="4">
        <f t="shared" si="14"/>
        <v>5.1596420738839033</v>
      </c>
      <c r="D157" s="4">
        <f t="shared" si="12"/>
        <v>186.32939428026623</v>
      </c>
      <c r="E157" s="4">
        <f t="shared" si="15"/>
        <v>178.37236552294547</v>
      </c>
    </row>
    <row r="158" spans="1:5" x14ac:dyDescent="0.4">
      <c r="A158">
        <v>65.25</v>
      </c>
      <c r="B158" s="4">
        <f t="shared" si="13"/>
        <v>2.9164366229413408</v>
      </c>
      <c r="C158" s="4">
        <f t="shared" si="14"/>
        <v>5.1457724623119949</v>
      </c>
      <c r="D158" s="4">
        <f t="shared" si="12"/>
        <v>186.32320126134385</v>
      </c>
      <c r="E158" s="4">
        <f t="shared" si="15"/>
        <v>178.38756175865552</v>
      </c>
    </row>
    <row r="159" spans="1:5" x14ac:dyDescent="0.4">
      <c r="A159">
        <v>65.5</v>
      </c>
      <c r="B159" s="4">
        <f t="shared" si="13"/>
        <v>2.9142490955283109</v>
      </c>
      <c r="C159" s="4">
        <f t="shared" si="14"/>
        <v>5.1319957143705865</v>
      </c>
      <c r="D159" s="4">
        <f t="shared" si="12"/>
        <v>186.31687340287075</v>
      </c>
      <c r="E159" s="4">
        <f t="shared" si="15"/>
        <v>178.40247994360607</v>
      </c>
    </row>
    <row r="160" spans="1:5" x14ac:dyDescent="0.4">
      <c r="A160">
        <v>65.75</v>
      </c>
      <c r="B160" s="4">
        <f t="shared" si="13"/>
        <v>2.9120699779279628</v>
      </c>
      <c r="C160" s="4">
        <f t="shared" si="14"/>
        <v>5.1183108566743671</v>
      </c>
      <c r="D160" s="4">
        <f t="shared" si="12"/>
        <v>186.31041262210499</v>
      </c>
      <c r="E160" s="4">
        <f t="shared" si="15"/>
        <v>178.41712349617762</v>
      </c>
    </row>
    <row r="161" spans="1:6" x14ac:dyDescent="0.4">
      <c r="A161">
        <v>66</v>
      </c>
      <c r="B161" s="4">
        <f t="shared" si="13"/>
        <v>2.9098992048605035</v>
      </c>
      <c r="C161" s="4">
        <f t="shared" si="14"/>
        <v>5.1047169297026924</v>
      </c>
      <c r="D161" s="4">
        <f t="shared" si="12"/>
        <v>186.30382080565758</v>
      </c>
      <c r="E161" s="4">
        <f t="shared" si="15"/>
        <v>178.43149578272218</v>
      </c>
    </row>
    <row r="162" spans="1:6" x14ac:dyDescent="0.4">
      <c r="A162">
        <v>66.25</v>
      </c>
      <c r="B162" s="4">
        <f t="shared" si="13"/>
        <v>2.9077367117994406</v>
      </c>
      <c r="C162" s="4">
        <f t="shared" si="14"/>
        <v>5.0912129875503354</v>
      </c>
      <c r="D162" s="4">
        <f t="shared" si="12"/>
        <v>186.29709981007832</v>
      </c>
      <c r="E162" s="4">
        <f t="shared" si="15"/>
        <v>178.44560011853315</v>
      </c>
    </row>
    <row r="163" spans="1:6" x14ac:dyDescent="0.4">
      <c r="A163">
        <v>66.5</v>
      </c>
      <c r="B163" s="4">
        <f t="shared" si="13"/>
        <v>2.9055824349600798</v>
      </c>
      <c r="C163" s="4">
        <f t="shared" si="14"/>
        <v>5.0777980976837584</v>
      </c>
      <c r="D163" s="4">
        <f t="shared" si="12"/>
        <v>186.29025146242807</v>
      </c>
      <c r="E163" s="4">
        <f t="shared" si="15"/>
        <v>178.45943976879366</v>
      </c>
    </row>
    <row r="164" spans="1:6" x14ac:dyDescent="0.4">
      <c r="A164">
        <v>66.75</v>
      </c>
      <c r="B164" s="4">
        <f t="shared" si="13"/>
        <v>2.9034363112882247</v>
      </c>
      <c r="C164" s="4">
        <f t="shared" si="14"/>
        <v>5.0644713407025028</v>
      </c>
      <c r="D164" s="4">
        <f t="shared" si="12"/>
        <v>186.2832775608386</v>
      </c>
      <c r="E164" s="4">
        <f t="shared" si="15"/>
        <v>178.47301794950431</v>
      </c>
    </row>
    <row r="165" spans="1:6" x14ac:dyDescent="0.4">
      <c r="A165">
        <v>67</v>
      </c>
      <c r="B165" s="4">
        <f t="shared" si="13"/>
        <v>2.9012982784491039</v>
      </c>
      <c r="C165" s="4">
        <f t="shared" si="14"/>
        <v>5.0512318101058513</v>
      </c>
      <c r="D165" s="4">
        <f t="shared" si="12"/>
        <v>186.2761798750596</v>
      </c>
      <c r="E165" s="4">
        <f t="shared" si="15"/>
        <v>178.48633782839013</v>
      </c>
    </row>
    <row r="166" spans="1:6" x14ac:dyDescent="0.4">
      <c r="A166">
        <v>67.25</v>
      </c>
      <c r="B166" s="4">
        <f t="shared" si="13"/>
        <v>2.8991682748165046</v>
      </c>
      <c r="C166" s="4">
        <f t="shared" si="14"/>
        <v>5.0380786120644281</v>
      </c>
      <c r="D166" s="4">
        <f t="shared" si="12"/>
        <v>186.26896014699392</v>
      </c>
      <c r="E166" s="4">
        <f t="shared" si="15"/>
        <v>178.49940252578801</v>
      </c>
    </row>
    <row r="167" spans="1:6" x14ac:dyDescent="0.4">
      <c r="A167">
        <v>67.5</v>
      </c>
      <c r="B167" s="4">
        <f t="shared" si="13"/>
        <v>2.8970462394621035</v>
      </c>
      <c r="C167" s="4">
        <f t="shared" si="14"/>
        <v>5.0250108651966761</v>
      </c>
      <c r="D167" s="4">
        <f t="shared" si="12"/>
        <v>186.26162009122004</v>
      </c>
      <c r="E167" s="4">
        <f t="shared" si="15"/>
        <v>178.51221511551381</v>
      </c>
    </row>
    <row r="168" spans="1:6" x14ac:dyDescent="0.4">
      <c r="A168">
        <v>67.75</v>
      </c>
      <c r="B168" s="4">
        <f t="shared" si="13"/>
        <v>2.8949321121450025</v>
      </c>
      <c r="C168" s="4">
        <f t="shared" si="14"/>
        <v>5.0120277003500648</v>
      </c>
      <c r="D168" s="4">
        <f t="shared" si="12"/>
        <v>186.2541613955045</v>
      </c>
      <c r="E168" s="4">
        <f t="shared" si="15"/>
        <v>178.52477862571217</v>
      </c>
    </row>
    <row r="169" spans="1:6" x14ac:dyDescent="0.4">
      <c r="A169">
        <v>68</v>
      </c>
      <c r="B169" s="4">
        <f t="shared" si="13"/>
        <v>2.8928258333014591</v>
      </c>
      <c r="C169" s="4">
        <f t="shared" si="14"/>
        <v>4.9991282603869935</v>
      </c>
      <c r="D169" s="4">
        <f t="shared" si="12"/>
        <v>186.24658572130124</v>
      </c>
      <c r="E169" s="4">
        <f t="shared" si="15"/>
        <v>178.53709603968633</v>
      </c>
    </row>
    <row r="170" spans="1:6" x14ac:dyDescent="0.4">
      <c r="A170">
        <v>68.25</v>
      </c>
      <c r="B170" s="4">
        <f t="shared" si="13"/>
        <v>2.8907273440348069</v>
      </c>
      <c r="C170" s="4">
        <f t="shared" si="14"/>
        <v>4.9863116999751913</v>
      </c>
      <c r="D170" s="4">
        <f t="shared" si="12"/>
        <v>186.23889470424152</v>
      </c>
      <c r="E170" s="4">
        <f t="shared" si="15"/>
        <v>178.54917029671074</v>
      </c>
    </row>
    <row r="171" spans="1:6" x14ac:dyDescent="0.4">
      <c r="A171">
        <v>68.5</v>
      </c>
      <c r="B171" s="4">
        <f t="shared" si="13"/>
        <v>2.8886365861055618</v>
      </c>
      <c r="C171" s="4">
        <f t="shared" si="14"/>
        <v>4.9735771853824939</v>
      </c>
      <c r="D171" s="4">
        <f t="shared" si="12"/>
        <v>186.23108995461192</v>
      </c>
      <c r="E171" s="4">
        <f t="shared" si="15"/>
        <v>178.56100429282625</v>
      </c>
    </row>
    <row r="172" spans="1:6" x14ac:dyDescent="0.4">
      <c r="A172">
        <v>68.75</v>
      </c>
      <c r="B172" s="4">
        <f t="shared" si="13"/>
        <v>2.8865535019217128</v>
      </c>
      <c r="C172" s="4">
        <f t="shared" si="14"/>
        <v>4.9609238942759779</v>
      </c>
      <c r="D172" s="4">
        <f t="shared" si="12"/>
        <v>186.22317305782312</v>
      </c>
      <c r="E172" s="4">
        <f t="shared" si="15"/>
        <v>178.57260088161794</v>
      </c>
    </row>
    <row r="173" spans="1:6" x14ac:dyDescent="0.4">
      <c r="A173">
        <v>69</v>
      </c>
      <c r="B173" s="4">
        <f t="shared" si="13"/>
        <v>2.8844780345291858</v>
      </c>
      <c r="C173" s="4">
        <f t="shared" si="14"/>
        <v>4.9483510155252288</v>
      </c>
      <c r="D173" s="4">
        <f t="shared" si="12"/>
        <v>186.21514557486708</v>
      </c>
      <c r="E173" s="4">
        <f t="shared" si="15"/>
        <v>178.58396287497624</v>
      </c>
    </row>
    <row r="174" spans="1:6" x14ac:dyDescent="0.4">
      <c r="A174">
        <v>69.25</v>
      </c>
      <c r="B174" s="4">
        <f t="shared" si="13"/>
        <v>2.8824101276024896</v>
      </c>
      <c r="C174" s="4">
        <f t="shared" si="14"/>
        <v>4.9358577490097808</v>
      </c>
      <c r="D174" s="4">
        <f t="shared" si="12"/>
        <v>186.20700904276555</v>
      </c>
      <c r="E174" s="4">
        <f t="shared" si="15"/>
        <v>178.5950930438421</v>
      </c>
    </row>
    <row r="175" spans="1:6" x14ac:dyDescent="0.4">
      <c r="A175">
        <v>69.5</v>
      </c>
      <c r="B175" s="4">
        <f t="shared" si="13"/>
        <v>2.8803497254355248</v>
      </c>
      <c r="C175" s="4">
        <f t="shared" si="14"/>
        <v>4.9234433054304425</v>
      </c>
      <c r="D175" s="4">
        <f t="shared" si="12"/>
        <v>186.19876497500826</v>
      </c>
      <c r="E175" s="4">
        <f t="shared" si="15"/>
        <v>178.60599411893631</v>
      </c>
    </row>
    <row r="176" spans="1:6" x14ac:dyDescent="0.4">
      <c r="A176" s="12">
        <f>E5</f>
        <v>56.401942621880451</v>
      </c>
      <c r="B176" s="12">
        <f t="shared" si="13"/>
        <v>2.9998640709051281</v>
      </c>
      <c r="C176" s="12">
        <f t="shared" si="14"/>
        <v>5.7014639044452053</v>
      </c>
      <c r="D176" s="12">
        <f t="shared" si="12"/>
        <v>186.44368706480131</v>
      </c>
      <c r="E176" s="12">
        <f t="shared" si="15"/>
        <v>177.65107866350823</v>
      </c>
      <c r="F176" s="2" t="s">
        <v>61</v>
      </c>
    </row>
    <row r="177" spans="1:5" x14ac:dyDescent="0.4">
      <c r="A177">
        <v>69.75</v>
      </c>
      <c r="B177" s="4">
        <f t="shared" si="13"/>
        <v>2.8782967729325679</v>
      </c>
      <c r="C177" s="4">
        <f t="shared" si="14"/>
        <v>4.9111069061246626</v>
      </c>
      <c r="D177" s="4">
        <f t="shared" si="12"/>
        <v>186.19041486198188</v>
      </c>
      <c r="E177" s="4">
        <f t="shared" si="15"/>
        <v>178.61666879147299</v>
      </c>
    </row>
    <row r="178" spans="1:5" x14ac:dyDescent="0.4">
      <c r="A178">
        <v>70</v>
      </c>
      <c r="B178" s="4">
        <f t="shared" si="13"/>
        <v>2.8762512155994076</v>
      </c>
      <c r="C178" s="4">
        <f t="shared" si="14"/>
        <v>4.8988477828855395</v>
      </c>
      <c r="D178" s="4">
        <f t="shared" si="12"/>
        <v>186.18196017138956</v>
      </c>
      <c r="E178" s="4">
        <f t="shared" si="15"/>
        <v>178.62711971385855</v>
      </c>
    </row>
    <row r="179" spans="1:5" x14ac:dyDescent="0.4">
      <c r="A179">
        <v>70.25</v>
      </c>
      <c r="B179" s="4">
        <f t="shared" si="13"/>
        <v>2.8742129995346524</v>
      </c>
      <c r="C179" s="4">
        <f t="shared" si="14"/>
        <v>4.8866651777846677</v>
      </c>
      <c r="D179" s="4">
        <f t="shared" si="12"/>
        <v>186.17340234866182</v>
      </c>
      <c r="E179" s="4">
        <f t="shared" si="15"/>
        <v>178.63734950037556</v>
      </c>
    </row>
    <row r="180" spans="1:5" x14ac:dyDescent="0.4">
      <c r="A180">
        <v>70.5</v>
      </c>
      <c r="B180" s="4">
        <f t="shared" si="13"/>
        <v>2.8721820714211863</v>
      </c>
      <c r="C180" s="4">
        <f t="shared" si="14"/>
        <v>4.8745583429985535</v>
      </c>
      <c r="D180" s="4">
        <f t="shared" si="12"/>
        <v>186.1647428173587</v>
      </c>
      <c r="E180" s="4">
        <f t="shared" si="15"/>
        <v>178.64736072785252</v>
      </c>
    </row>
    <row r="181" spans="1:5" x14ac:dyDescent="0.4">
      <c r="A181">
        <v>70.75</v>
      </c>
      <c r="B181" s="4">
        <f t="shared" si="13"/>
        <v>2.8701583785177842</v>
      </c>
      <c r="C181" s="4">
        <f t="shared" si="14"/>
        <v>4.8625265406385694</v>
      </c>
      <c r="D181" s="4">
        <f t="shared" si="12"/>
        <v>186.15598297956274</v>
      </c>
      <c r="E181" s="4">
        <f t="shared" si="15"/>
        <v>178.65715593631944</v>
      </c>
    </row>
    <row r="182" spans="1:5" x14ac:dyDescent="0.4">
      <c r="A182">
        <v>71</v>
      </c>
      <c r="B182" s="4">
        <f t="shared" si="13"/>
        <v>2.8681418686508682</v>
      </c>
      <c r="C182" s="4">
        <f t="shared" si="14"/>
        <v>4.8505690425843468</v>
      </c>
      <c r="D182" s="4">
        <f t="shared" si="12"/>
        <v>186.14712421626464</v>
      </c>
      <c r="E182" s="4">
        <f t="shared" si="15"/>
        <v>178.66673762965002</v>
      </c>
    </row>
    <row r="183" spans="1:5" x14ac:dyDescent="0.4">
      <c r="A183">
        <v>71.25</v>
      </c>
      <c r="B183" s="4">
        <f t="shared" si="13"/>
        <v>2.866132490206418</v>
      </c>
      <c r="C183" s="4">
        <f t="shared" si="14"/>
        <v>4.8386851303205773</v>
      </c>
      <c r="D183" s="4">
        <f t="shared" si="12"/>
        <v>186.13816788774</v>
      </c>
      <c r="E183" s="4">
        <f t="shared" si="15"/>
        <v>178.67610827619038</v>
      </c>
    </row>
    <row r="184" spans="1:5" x14ac:dyDescent="0.4">
      <c r="A184">
        <v>71.5</v>
      </c>
      <c r="B184" s="4">
        <f t="shared" si="13"/>
        <v>2.8641301921220226</v>
      </c>
      <c r="C184" s="4">
        <f t="shared" si="14"/>
        <v>4.8268740947770565</v>
      </c>
      <c r="D184" s="4">
        <f t="shared" si="12"/>
        <v>186.12911533391843</v>
      </c>
      <c r="E184" s="4">
        <f t="shared" si="15"/>
        <v>178.6852703093746</v>
      </c>
    </row>
    <row r="185" spans="1:5" x14ac:dyDescent="0.4">
      <c r="A185">
        <v>71.75</v>
      </c>
      <c r="B185" s="4">
        <f t="shared" si="13"/>
        <v>2.8621349238790716</v>
      </c>
      <c r="C185" s="4">
        <f t="shared" si="14"/>
        <v>4.8151352361719919</v>
      </c>
      <c r="D185" s="4">
        <f t="shared" si="12"/>
        <v>186.11996787474499</v>
      </c>
      <c r="E185" s="4">
        <f t="shared" si="15"/>
        <v>178.69422612832804</v>
      </c>
    </row>
    <row r="186" spans="1:5" x14ac:dyDescent="0.4">
      <c r="A186">
        <v>72</v>
      </c>
      <c r="B186" s="4">
        <f t="shared" si="13"/>
        <v>2.8601466354950826</v>
      </c>
      <c r="C186" s="4">
        <f t="shared" si="14"/>
        <v>4.8034678638583985</v>
      </c>
      <c r="D186" s="4">
        <f t="shared" si="12"/>
        <v>186.11072681053392</v>
      </c>
      <c r="E186" s="4">
        <f t="shared" si="15"/>
        <v>178.70297809845778</v>
      </c>
    </row>
    <row r="187" spans="1:5" x14ac:dyDescent="0.4">
      <c r="A187">
        <v>72.25</v>
      </c>
      <c r="B187" s="4">
        <f t="shared" si="13"/>
        <v>2.8581652775161666</v>
      </c>
      <c r="C187" s="4">
        <f t="shared" si="14"/>
        <v>4.7918712961735785</v>
      </c>
      <c r="D187" s="4">
        <f t="shared" si="12"/>
        <v>186.10139342231531</v>
      </c>
      <c r="E187" s="4">
        <f t="shared" si="15"/>
        <v>178.7115285520315</v>
      </c>
    </row>
    <row r="188" spans="1:5" x14ac:dyDescent="0.4">
      <c r="A188">
        <v>72.5</v>
      </c>
      <c r="B188" s="4">
        <f t="shared" si="13"/>
        <v>2.856190801009622</v>
      </c>
      <c r="C188" s="4">
        <f t="shared" si="14"/>
        <v>4.7803448602916072</v>
      </c>
      <c r="D188" s="4">
        <f t="shared" si="12"/>
        <v>186.09196897217402</v>
      </c>
      <c r="E188" s="4">
        <f t="shared" si="15"/>
        <v>178.71987978874381</v>
      </c>
    </row>
    <row r="189" spans="1:5" x14ac:dyDescent="0.4">
      <c r="A189">
        <v>72.75</v>
      </c>
      <c r="B189" s="4">
        <f t="shared" si="13"/>
        <v>2.8542231575566595</v>
      </c>
      <c r="C189" s="4">
        <f t="shared" si="14"/>
        <v>4.7688878920787081</v>
      </c>
      <c r="D189" s="4">
        <f t="shared" si="12"/>
        <v>186.08245470358216</v>
      </c>
      <c r="E189" s="4">
        <f t="shared" si="15"/>
        <v>178.72803407627202</v>
      </c>
    </row>
    <row r="190" spans="1:5" x14ac:dyDescent="0.4">
      <c r="A190">
        <v>73</v>
      </c>
      <c r="B190" s="4">
        <f t="shared" si="13"/>
        <v>2.8522622992452513</v>
      </c>
      <c r="C190" s="4">
        <f t="shared" si="14"/>
        <v>4.7574997359515185</v>
      </c>
      <c r="D190" s="4">
        <f t="shared" si="12"/>
        <v>186.07285184172468</v>
      </c>
      <c r="E190" s="4">
        <f t="shared" si="15"/>
        <v>178.73599365081986</v>
      </c>
    </row>
    <row r="191" spans="1:5" x14ac:dyDescent="0.4">
      <c r="A191">
        <v>73.25</v>
      </c>
      <c r="B191" s="4">
        <f t="shared" si="13"/>
        <v>2.8503081786631053</v>
      </c>
      <c r="C191" s="4">
        <f t="shared" si="14"/>
        <v>4.7461797447381002</v>
      </c>
      <c r="D191" s="4">
        <f t="shared" si="12"/>
        <v>186.06316159381763</v>
      </c>
      <c r="E191" s="4">
        <f t="shared" si="15"/>
        <v>178.74376071765056</v>
      </c>
    </row>
    <row r="192" spans="1:5" x14ac:dyDescent="0.4">
      <c r="A192">
        <v>73.5</v>
      </c>
      <c r="B192" s="4">
        <f t="shared" si="13"/>
        <v>2.8483607488907623</v>
      </c>
      <c r="C192" s="4">
        <f t="shared" si="14"/>
        <v>4.7349272795417621</v>
      </c>
      <c r="D192" s="4">
        <f t="shared" si="12"/>
        <v>186.05338514942096</v>
      </c>
      <c r="E192" s="4">
        <f t="shared" si="15"/>
        <v>178.75133745160926</v>
      </c>
    </row>
    <row r="193" spans="1:5" x14ac:dyDescent="0.4">
      <c r="A193">
        <v>73.75</v>
      </c>
      <c r="B193" s="4">
        <f t="shared" si="13"/>
        <v>2.8464199634948062</v>
      </c>
      <c r="C193" s="4">
        <f t="shared" si="14"/>
        <v>4.7237417096073706</v>
      </c>
      <c r="D193" s="4">
        <f t="shared" si="12"/>
        <v>186.04352368074373</v>
      </c>
      <c r="E193" s="4">
        <f t="shared" si="15"/>
        <v>178.75872599763471</v>
      </c>
    </row>
    <row r="194" spans="1:5" x14ac:dyDescent="0.4">
      <c r="A194">
        <v>74</v>
      </c>
      <c r="B194" s="4">
        <f t="shared" si="13"/>
        <v>2.8444857765211951</v>
      </c>
      <c r="C194" s="4">
        <f t="shared" si="14"/>
        <v>4.7126224121904974</v>
      </c>
      <c r="D194" s="4">
        <f t="shared" si="12"/>
        <v>186.0335783429442</v>
      </c>
      <c r="E194" s="4">
        <f t="shared" si="15"/>
        <v>178.76592847126088</v>
      </c>
    </row>
    <row r="195" spans="1:5" x14ac:dyDescent="0.4">
      <c r="A195">
        <v>74.25</v>
      </c>
      <c r="B195" s="4">
        <f t="shared" si="13"/>
        <v>2.8425581424887083</v>
      </c>
      <c r="C195" s="4">
        <f t="shared" si="14"/>
        <v>4.701568772428911</v>
      </c>
      <c r="D195" s="4">
        <f t="shared" si="12"/>
        <v>186.02355027442312</v>
      </c>
      <c r="E195" s="4">
        <f t="shared" si="15"/>
        <v>178.77294695910876</v>
      </c>
    </row>
    <row r="196" spans="1:5" x14ac:dyDescent="0.4">
      <c r="A196">
        <v>74.5</v>
      </c>
      <c r="B196" s="4">
        <f t="shared" si="13"/>
        <v>2.8406370163824954</v>
      </c>
      <c r="C196" s="4">
        <f t="shared" si="14"/>
        <v>4.6905801832166416</v>
      </c>
      <c r="D196" s="4">
        <f t="shared" si="12"/>
        <v>186.0134405971115</v>
      </c>
      <c r="E196" s="4">
        <f t="shared" si="15"/>
        <v>178.77978351936795</v>
      </c>
    </row>
    <row r="197" spans="1:5" x14ac:dyDescent="0.4">
      <c r="A197">
        <v>74.75</v>
      </c>
      <c r="B197" s="4">
        <f t="shared" si="13"/>
        <v>2.8387223536477459</v>
      </c>
      <c r="C197" s="4">
        <f t="shared" si="14"/>
        <v>4.6796560450804705</v>
      </c>
      <c r="D197" s="4">
        <f t="shared" si="12"/>
        <v>186.00325041675234</v>
      </c>
      <c r="E197" s="4">
        <f t="shared" si="15"/>
        <v>178.78644018226919</v>
      </c>
    </row>
    <row r="198" spans="1:5" x14ac:dyDescent="0.4">
      <c r="A198">
        <v>75</v>
      </c>
      <c r="B198" s="4">
        <f t="shared" si="13"/>
        <v>2.8368141101834548</v>
      </c>
      <c r="C198" s="4">
        <f t="shared" si="14"/>
        <v>4.6687957660587509</v>
      </c>
      <c r="D198" s="4">
        <f t="shared" si="12"/>
        <v>185.99298082317668</v>
      </c>
      <c r="E198" s="4">
        <f t="shared" si="15"/>
        <v>178.79291895054712</v>
      </c>
    </row>
    <row r="199" spans="1:5" x14ac:dyDescent="0.4">
      <c r="A199">
        <v>75.25</v>
      </c>
      <c r="B199" s="4">
        <f t="shared" si="13"/>
        <v>2.834912242336308</v>
      </c>
      <c r="C199" s="4">
        <f t="shared" si="14"/>
        <v>4.6579987615826512</v>
      </c>
      <c r="D199" s="4">
        <f t="shared" si="12"/>
        <v>185.98263289057448</v>
      </c>
      <c r="E199" s="4">
        <f t="shared" si="15"/>
        <v>178.7992217998943</v>
      </c>
    </row>
    <row r="200" spans="1:5" x14ac:dyDescent="0.4">
      <c r="A200">
        <v>75.5</v>
      </c>
      <c r="B200" s="4">
        <f t="shared" si="13"/>
        <v>2.8330167068946501</v>
      </c>
      <c r="C200" s="4">
        <f t="shared" si="14"/>
        <v>4.6472644543594912</v>
      </c>
      <c r="D200" s="4">
        <f t="shared" si="12"/>
        <v>185.97220767775966</v>
      </c>
      <c r="E200" s="4">
        <f t="shared" si="15"/>
        <v>178.80535067940633</v>
      </c>
    </row>
    <row r="201" spans="1:5" x14ac:dyDescent="0.4">
      <c r="A201">
        <v>75.75</v>
      </c>
      <c r="B201" s="4">
        <f t="shared" si="13"/>
        <v>2.8311274610825707</v>
      </c>
      <c r="C201" s="4">
        <f t="shared" si="14"/>
        <v>4.636592274258466</v>
      </c>
      <c r="D201" s="4">
        <f t="shared" si="12"/>
        <v>185.96170622843002</v>
      </c>
      <c r="E201" s="4">
        <f t="shared" si="15"/>
        <v>178.81130751201781</v>
      </c>
    </row>
    <row r="202" spans="1:5" x14ac:dyDescent="0.4">
      <c r="A202">
        <v>76</v>
      </c>
      <c r="B202" s="4">
        <f t="shared" si="13"/>
        <v>2.829244462554084</v>
      </c>
      <c r="C202" s="4">
        <f t="shared" si="14"/>
        <v>4.6259816581984659</v>
      </c>
      <c r="D202" s="4">
        <f t="shared" si="12"/>
        <v>185.95112957142217</v>
      </c>
      <c r="E202" s="4">
        <f t="shared" si="15"/>
        <v>178.81709419493029</v>
      </c>
    </row>
    <row r="203" spans="1:5" x14ac:dyDescent="0.4">
      <c r="A203">
        <v>76.25</v>
      </c>
      <c r="B203" s="4">
        <f t="shared" si="13"/>
        <v>2.8273676693873964</v>
      </c>
      <c r="C203" s="4">
        <f t="shared" si="14"/>
        <v>4.6154320500380033</v>
      </c>
      <c r="D203" s="4">
        <f t="shared" si="12"/>
        <v>185.94047872096112</v>
      </c>
      <c r="E203" s="4">
        <f t="shared" si="15"/>
        <v>178.82271260003182</v>
      </c>
    </row>
    <row r="204" spans="1:5" x14ac:dyDescent="0.4">
      <c r="A204">
        <v>76.5</v>
      </c>
      <c r="B204" s="4">
        <f t="shared" si="13"/>
        <v>2.8254970400792851</v>
      </c>
      <c r="C204" s="4">
        <f t="shared" si="14"/>
        <v>4.6049429004672309</v>
      </c>
      <c r="D204" s="4">
        <f t="shared" si="12"/>
        <v>185.92975467690542</v>
      </c>
      <c r="E204" s="4">
        <f t="shared" si="15"/>
        <v>178.82816457430826</v>
      </c>
    </row>
    <row r="205" spans="1:5" x14ac:dyDescent="0.4">
      <c r="A205">
        <v>76.75</v>
      </c>
      <c r="B205" s="4">
        <f t="shared" si="13"/>
        <v>2.8236325335395538</v>
      </c>
      <c r="C205" s="4">
        <f t="shared" si="14"/>
        <v>4.5945136669019879</v>
      </c>
      <c r="D205" s="4">
        <f t="shared" si="12"/>
        <v>185.91895842498681</v>
      </c>
      <c r="E205" s="4">
        <f t="shared" si="15"/>
        <v>178.83345194024668</v>
      </c>
    </row>
    <row r="206" spans="1:5" x14ac:dyDescent="0.4">
      <c r="A206">
        <v>77</v>
      </c>
      <c r="B206" s="4">
        <f t="shared" si="13"/>
        <v>2.8217741090855895</v>
      </c>
      <c r="C206" s="4">
        <f t="shared" si="14"/>
        <v>4.5841438133798285</v>
      </c>
      <c r="D206" s="4">
        <f t="shared" si="12"/>
        <v>185.90809093704556</v>
      </c>
      <c r="E206" s="4">
        <f t="shared" si="15"/>
        <v>178.83857649623087</v>
      </c>
    </row>
    <row r="207" spans="1:5" x14ac:dyDescent="0.4">
      <c r="A207">
        <v>77.25</v>
      </c>
      <c r="B207" s="4">
        <f t="shared" si="13"/>
        <v>2.8199217264370047</v>
      </c>
      <c r="C207" s="4">
        <f t="shared" si="14"/>
        <v>4.573832810457982</v>
      </c>
      <c r="D207" s="4">
        <f t="shared" ref="D207:D270" si="16">$B$6*$B$12/9.81*($B$9*SQRT(2/($B$9-1)*(2/($B$9+1))^(($B$9+1)/($B$9-1))*(1 - (A207/$B$3)^(($B$9-1)/$B$9))) + C207/$B$3*(A207 - $E$5))</f>
        <v>185.89715317126166</v>
      </c>
      <c r="E207" s="4">
        <f t="shared" si="15"/>
        <v>178.84354001692984</v>
      </c>
    </row>
    <row r="208" spans="1:5" x14ac:dyDescent="0.4">
      <c r="A208">
        <v>77.5</v>
      </c>
      <c r="B208" s="4">
        <f t="shared" ref="B208:B271" si="17">SQRT(2/($B$9-1)*((A208/$B$3)^((1-$B$9)/$B$9) - 1))</f>
        <v>2.8180753457103696</v>
      </c>
      <c r="C208" s="4">
        <f t="shared" ref="C208:C271" si="18">1/B208*(2/($B$9+1)*(1 + ($B$9-1)/2*B208^2))^(($B$9+1)/(2*$B$9-2))</f>
        <v>4.5635801351132308</v>
      </c>
      <c r="D208" s="4">
        <f t="shared" si="16"/>
        <v>185.88614607238054</v>
      </c>
      <c r="E208" s="4">
        <f t="shared" ref="E208:E271" si="19">$B$6*$B$12/9.81*($B$9*SQRT(2/($B$9-1)*(2/($B$9+1))^(($B$9+1)/($B$9-1))*(1 - (A208/$B$3)^(($B$9-1)/$B$9))) + C208/$B$3*(A208 - $E$4))</f>
        <v>178.84834425367811</v>
      </c>
    </row>
    <row r="209" spans="1:5" x14ac:dyDescent="0.4">
      <c r="A209">
        <v>77.75</v>
      </c>
      <c r="B209" s="4">
        <f t="shared" si="17"/>
        <v>2.8162349274140261</v>
      </c>
      <c r="C209" s="4">
        <f t="shared" si="18"/>
        <v>4.5533852706436111</v>
      </c>
      <c r="D209" s="4">
        <f t="shared" si="16"/>
        <v>185.87507057193503</v>
      </c>
      <c r="E209" s="4">
        <f t="shared" si="19"/>
        <v>178.85299093484909</v>
      </c>
    </row>
    <row r="210" spans="1:5" x14ac:dyDescent="0.4">
      <c r="A210">
        <v>78</v>
      </c>
      <c r="B210" s="4">
        <f t="shared" si="17"/>
        <v>2.814400432442989</v>
      </c>
      <c r="C210" s="4">
        <f t="shared" si="18"/>
        <v>4.5432477065719405</v>
      </c>
      <c r="D210" s="4">
        <f t="shared" si="16"/>
        <v>185.86392758846307</v>
      </c>
      <c r="E210" s="4">
        <f t="shared" si="19"/>
        <v>178.85748176622172</v>
      </c>
    </row>
    <row r="211" spans="1:5" x14ac:dyDescent="0.4">
      <c r="A211">
        <v>78.25</v>
      </c>
      <c r="B211" s="4">
        <f t="shared" si="17"/>
        <v>2.8125718220739304</v>
      </c>
      <c r="C211" s="4">
        <f t="shared" si="18"/>
        <v>4.5331669385511733</v>
      </c>
      <c r="D211" s="4">
        <f t="shared" si="16"/>
        <v>185.85271802772101</v>
      </c>
      <c r="E211" s="4">
        <f t="shared" si="19"/>
        <v>178.86181843133963</v>
      </c>
    </row>
    <row r="212" spans="1:5" x14ac:dyDescent="0.4">
      <c r="A212">
        <v>78.5</v>
      </c>
      <c r="B212" s="4">
        <f t="shared" si="17"/>
        <v>2.8107490579602419</v>
      </c>
      <c r="C212" s="4">
        <f t="shared" si="18"/>
        <v>4.5231424682713808</v>
      </c>
      <c r="D212" s="4">
        <f t="shared" si="16"/>
        <v>185.8414427828927</v>
      </c>
      <c r="E212" s="4">
        <f t="shared" si="19"/>
        <v>178.86600259186363</v>
      </c>
    </row>
    <row r="213" spans="1:5" x14ac:dyDescent="0.4">
      <c r="A213">
        <v>78.75</v>
      </c>
      <c r="B213" s="4">
        <f t="shared" si="17"/>
        <v>2.8089321021271796</v>
      </c>
      <c r="C213" s="4">
        <f t="shared" si="18"/>
        <v>4.51317380336857</v>
      </c>
      <c r="D213" s="4">
        <f t="shared" si="16"/>
        <v>185.83010273479482</v>
      </c>
      <c r="E213" s="4">
        <f t="shared" si="19"/>
        <v>178.87003588791796</v>
      </c>
    </row>
    <row r="214" spans="1:5" x14ac:dyDescent="0.4">
      <c r="A214">
        <v>79</v>
      </c>
      <c r="B214" s="4">
        <f t="shared" si="17"/>
        <v>2.8071209169670843</v>
      </c>
      <c r="C214" s="4">
        <f t="shared" si="18"/>
        <v>4.5032604573350348</v>
      </c>
      <c r="D214" s="4">
        <f t="shared" si="16"/>
        <v>185.81869875207829</v>
      </c>
      <c r="E214" s="4">
        <f t="shared" si="19"/>
        <v>178.8739199384294</v>
      </c>
    </row>
    <row r="215" spans="1:5" x14ac:dyDescent="0.4">
      <c r="A215">
        <v>79.25</v>
      </c>
      <c r="B215" s="4">
        <f t="shared" si="17"/>
        <v>2.8053154652346795</v>
      </c>
      <c r="C215" s="4">
        <f t="shared" si="18"/>
        <v>4.4934019494314361</v>
      </c>
      <c r="D215" s="4">
        <f t="shared" si="16"/>
        <v>185.80723169142561</v>
      </c>
      <c r="E215" s="4">
        <f t="shared" si="19"/>
        <v>178.87765634146081</v>
      </c>
    </row>
    <row r="216" spans="1:5" x14ac:dyDescent="0.4">
      <c r="A216">
        <v>79.5</v>
      </c>
      <c r="B216" s="4">
        <f t="shared" si="17"/>
        <v>2.8035157100424435</v>
      </c>
      <c r="C216" s="4">
        <f t="shared" si="18"/>
        <v>4.4835978046004312</v>
      </c>
      <c r="D216" s="4">
        <f t="shared" si="16"/>
        <v>185.79570239774455</v>
      </c>
      <c r="E216" s="4">
        <f t="shared" si="19"/>
        <v>178.88124667453761</v>
      </c>
    </row>
    <row r="217" spans="1:5" x14ac:dyDescent="0.4">
      <c r="A217">
        <v>79.75</v>
      </c>
      <c r="B217" s="4">
        <f t="shared" si="17"/>
        <v>2.8017216148560546</v>
      </c>
      <c r="C217" s="4">
        <f t="shared" si="18"/>
        <v>4.4738475533818534</v>
      </c>
      <c r="D217" s="4">
        <f t="shared" si="16"/>
        <v>185.78411170435831</v>
      </c>
      <c r="E217" s="4">
        <f t="shared" si="19"/>
        <v>178.88469249496887</v>
      </c>
    </row>
    <row r="218" spans="1:5" x14ac:dyDescent="0.4">
      <c r="A218">
        <v>80</v>
      </c>
      <c r="B218" s="4">
        <f t="shared" si="17"/>
        <v>2.7999331434899131</v>
      </c>
      <c r="C218" s="4">
        <f t="shared" si="18"/>
        <v>4.4641507318294682</v>
      </c>
      <c r="D218" s="4">
        <f t="shared" si="16"/>
        <v>185.77246043319201</v>
      </c>
      <c r="E218" s="4">
        <f t="shared" si="19"/>
        <v>178.88799534016218</v>
      </c>
    </row>
    <row r="219" spans="1:5" x14ac:dyDescent="0.4">
      <c r="A219">
        <v>80.25</v>
      </c>
      <c r="B219" s="4">
        <f t="shared" si="17"/>
        <v>2.7981502601027248</v>
      </c>
      <c r="C219" s="4">
        <f t="shared" si="18"/>
        <v>4.454506881429154</v>
      </c>
      <c r="D219" s="4">
        <f t="shared" si="16"/>
        <v>185.76074939495524</v>
      </c>
      <c r="E219" s="4">
        <f t="shared" si="19"/>
        <v>178.89115672793247</v>
      </c>
    </row>
    <row r="220" spans="1:5" x14ac:dyDescent="0.4">
      <c r="A220">
        <v>80.5</v>
      </c>
      <c r="B220" s="4">
        <f t="shared" si="17"/>
        <v>2.7963729291931618</v>
      </c>
      <c r="C220" s="4">
        <f t="shared" si="18"/>
        <v>4.4449155490186092</v>
      </c>
      <c r="D220" s="4">
        <f t="shared" si="16"/>
        <v>185.74897938932233</v>
      </c>
      <c r="E220" s="4">
        <f t="shared" si="19"/>
        <v>178.89417815680582</v>
      </c>
    </row>
    <row r="221" spans="1:5" x14ac:dyDescent="0.4">
      <c r="A221" s="4">
        <v>80.75</v>
      </c>
      <c r="B221" s="4">
        <f t="shared" si="17"/>
        <v>2.7946011155955905</v>
      </c>
      <c r="C221" s="4">
        <f t="shared" si="18"/>
        <v>4.4353762867084585</v>
      </c>
      <c r="D221" s="4">
        <f t="shared" si="16"/>
        <v>185.73715120510755</v>
      </c>
      <c r="E221" s="4">
        <f t="shared" si="19"/>
        <v>178.89706110631676</v>
      </c>
    </row>
    <row r="222" spans="1:5" x14ac:dyDescent="0.4">
      <c r="A222" s="11">
        <v>81</v>
      </c>
      <c r="B222" s="4">
        <f t="shared" si="17"/>
        <v>2.7928347844758603</v>
      </c>
      <c r="C222" s="4">
        <f t="shared" si="18"/>
        <v>4.4258886518047689</v>
      </c>
      <c r="D222" s="4">
        <f t="shared" si="16"/>
        <v>185.72526562043882</v>
      </c>
      <c r="E222" s="4">
        <f t="shared" si="19"/>
        <v>178.89980703730095</v>
      </c>
    </row>
    <row r="223" spans="1:5" x14ac:dyDescent="0.4">
      <c r="A223">
        <v>81.25</v>
      </c>
      <c r="B223" s="4">
        <f t="shared" si="17"/>
        <v>2.7910739013271662</v>
      </c>
      <c r="C223" s="4">
        <f t="shared" si="18"/>
        <v>4.4164522067329557</v>
      </c>
      <c r="D223" s="4">
        <f t="shared" si="16"/>
        <v>185.71332340292673</v>
      </c>
      <c r="E223" s="4">
        <f t="shared" si="19"/>
        <v>178.90241739218212</v>
      </c>
    </row>
    <row r="224" spans="1:5" x14ac:dyDescent="0.4">
      <c r="A224">
        <v>81.5</v>
      </c>
      <c r="B224" s="4">
        <f t="shared" si="17"/>
        <v>2.7893184319659698</v>
      </c>
      <c r="C224" s="4">
        <f t="shared" si="18"/>
        <v>4.4070665189630054</v>
      </c>
      <c r="D224" s="4">
        <f t="shared" si="16"/>
        <v>185.70132530983142</v>
      </c>
      <c r="E224" s="4">
        <f t="shared" si="19"/>
        <v>178.9048935952537</v>
      </c>
    </row>
    <row r="225" spans="1:5" x14ac:dyDescent="0.4">
      <c r="A225">
        <v>81.75</v>
      </c>
      <c r="B225" s="4">
        <f t="shared" si="17"/>
        <v>2.7875683425279858</v>
      </c>
      <c r="C225" s="4">
        <f t="shared" si="18"/>
        <v>4.3977311609360239</v>
      </c>
      <c r="D225" s="4">
        <f t="shared" si="16"/>
        <v>185.68927208822558</v>
      </c>
      <c r="E225" s="4">
        <f t="shared" si="19"/>
        <v>178.90723705295562</v>
      </c>
    </row>
    <row r="226" spans="1:5" x14ac:dyDescent="0.4">
      <c r="A226">
        <v>82</v>
      </c>
      <c r="B226" s="4">
        <f t="shared" si="17"/>
        <v>2.7858235994642304</v>
      </c>
      <c r="C226" s="4">
        <f t="shared" si="18"/>
        <v>4.388445709992121</v>
      </c>
      <c r="D226" s="4">
        <f t="shared" si="16"/>
        <v>185.67716447515537</v>
      </c>
      <c r="E226" s="4">
        <f t="shared" si="19"/>
        <v>178.90944915414607</v>
      </c>
    </row>
    <row r="227" spans="1:5" x14ac:dyDescent="0.4">
      <c r="A227">
        <v>82.25</v>
      </c>
      <c r="B227" s="4">
        <f t="shared" si="17"/>
        <v>2.7840841695371306</v>
      </c>
      <c r="C227" s="4">
        <f t="shared" si="18"/>
        <v>4.3792097482994699</v>
      </c>
      <c r="D227" s="4">
        <f t="shared" si="16"/>
        <v>185.66500319779732</v>
      </c>
      <c r="E227" s="4">
        <f t="shared" si="19"/>
        <v>178.91153127036799</v>
      </c>
    </row>
    <row r="228" spans="1:5" x14ac:dyDescent="0.4">
      <c r="A228">
        <v>82.5</v>
      </c>
      <c r="B228" s="4">
        <f t="shared" si="17"/>
        <v>2.7823500198166919</v>
      </c>
      <c r="C228" s="4">
        <f t="shared" si="18"/>
        <v>4.3700228627846887</v>
      </c>
      <c r="D228" s="4">
        <f t="shared" si="16"/>
        <v>185.65278897361321</v>
      </c>
      <c r="E228" s="4">
        <f t="shared" si="19"/>
        <v>178.9134847561111</v>
      </c>
    </row>
    <row r="229" spans="1:5" x14ac:dyDescent="0.4">
      <c r="A229">
        <v>82.75</v>
      </c>
      <c r="B229" s="4">
        <f t="shared" si="17"/>
        <v>2.7806211176767257</v>
      </c>
      <c r="C229" s="4">
        <f t="shared" si="18"/>
        <v>4.3608846450643908</v>
      </c>
      <c r="D229" s="4">
        <f t="shared" si="16"/>
        <v>185.64052251050163</v>
      </c>
      <c r="E229" s="4">
        <f t="shared" si="19"/>
        <v>178.91531094906946</v>
      </c>
    </row>
    <row r="230" spans="1:5" x14ac:dyDescent="0.4">
      <c r="A230">
        <v>83</v>
      </c>
      <c r="B230" s="4">
        <f t="shared" si="17"/>
        <v>2.7788974307911349</v>
      </c>
      <c r="C230" s="4">
        <f t="shared" si="18"/>
        <v>4.3517946913779246</v>
      </c>
      <c r="D230" s="4">
        <f t="shared" si="16"/>
        <v>185.62820450694701</v>
      </c>
      <c r="E230" s="4">
        <f t="shared" si="19"/>
        <v>178.91701117039369</v>
      </c>
    </row>
    <row r="231" spans="1:5" x14ac:dyDescent="0.4">
      <c r="A231">
        <v>83.25</v>
      </c>
      <c r="B231" s="4">
        <f t="shared" si="17"/>
        <v>2.7771789271302554</v>
      </c>
      <c r="C231" s="4">
        <f t="shared" si="18"/>
        <v>4.3427526025213004</v>
      </c>
      <c r="D231" s="4">
        <f t="shared" si="16"/>
        <v>185.6158356521658</v>
      </c>
      <c r="E231" s="4">
        <f t="shared" si="19"/>
        <v>178.91858672493933</v>
      </c>
    </row>
    <row r="232" spans="1:5" x14ac:dyDescent="0.4">
      <c r="A232">
        <v>83.5</v>
      </c>
      <c r="B232" s="4">
        <f t="shared" si="17"/>
        <v>2.7754655749572517</v>
      </c>
      <c r="C232" s="4">
        <f t="shared" si="18"/>
        <v>4.3337579837822346</v>
      </c>
      <c r="D232" s="4">
        <f t="shared" si="16"/>
        <v>185.60341662625001</v>
      </c>
      <c r="E232" s="4">
        <f t="shared" si="19"/>
        <v>178.92003890151065</v>
      </c>
    </row>
    <row r="233" spans="1:5" x14ac:dyDescent="0.4">
      <c r="A233">
        <v>83.75</v>
      </c>
      <c r="B233" s="4">
        <f t="shared" si="17"/>
        <v>2.7737573428245677</v>
      </c>
      <c r="C233" s="4">
        <f t="shared" si="18"/>
        <v>4.3248104448763138</v>
      </c>
      <c r="D233" s="4">
        <f t="shared" si="16"/>
        <v>185.59094810030831</v>
      </c>
      <c r="E233" s="4">
        <f t="shared" si="19"/>
        <v>178.92136897309999</v>
      </c>
    </row>
    <row r="234" spans="1:5" x14ac:dyDescent="0.4">
      <c r="A234">
        <v>84</v>
      </c>
      <c r="B234" s="4">
        <f t="shared" si="17"/>
        <v>2.7720541995704346</v>
      </c>
      <c r="C234" s="4">
        <f t="shared" si="18"/>
        <v>4.3159095998842654</v>
      </c>
      <c r="D234" s="4">
        <f t="shared" si="16"/>
        <v>185.57843073660422</v>
      </c>
      <c r="E234" s="4">
        <f t="shared" si="19"/>
        <v>178.9225781971227</v>
      </c>
    </row>
    <row r="235" spans="1:5" x14ac:dyDescent="0.4">
      <c r="A235">
        <v>84.25</v>
      </c>
      <c r="B235" s="4">
        <f t="shared" si="17"/>
        <v>2.7703561143154269</v>
      </c>
      <c r="C235" s="4">
        <f t="shared" si="18"/>
        <v>4.3070550671903121</v>
      </c>
      <c r="D235" s="4">
        <f t="shared" si="16"/>
        <v>185.56586518869241</v>
      </c>
      <c r="E235" s="4">
        <f t="shared" si="19"/>
        <v>178.92366781564874</v>
      </c>
    </row>
    <row r="236" spans="1:5" x14ac:dyDescent="0.4">
      <c r="A236">
        <v>84.5</v>
      </c>
      <c r="B236" s="4">
        <f t="shared" si="17"/>
        <v>2.7686630564590682</v>
      </c>
      <c r="C236" s="4">
        <f t="shared" si="18"/>
        <v>4.2982464694215201</v>
      </c>
      <c r="D236" s="4">
        <f t="shared" si="16"/>
        <v>185.55325210155195</v>
      </c>
      <c r="E236" s="4">
        <f t="shared" si="19"/>
        <v>178.92463905562906</v>
      </c>
    </row>
    <row r="237" spans="1:5" x14ac:dyDescent="0.4">
      <c r="A237">
        <v>84.75</v>
      </c>
      <c r="B237" s="4">
        <f t="shared" si="17"/>
        <v>2.766974995676494</v>
      </c>
      <c r="C237" s="4">
        <f t="shared" si="18"/>
        <v>4.289483433388245</v>
      </c>
      <c r="D237" s="4">
        <f t="shared" si="16"/>
        <v>185.54059211171736</v>
      </c>
      <c r="E237" s="4">
        <f t="shared" si="19"/>
        <v>178.92549312911896</v>
      </c>
    </row>
    <row r="238" spans="1:5" x14ac:dyDescent="0.4">
      <c r="A238">
        <v>85</v>
      </c>
      <c r="B238" s="4">
        <f t="shared" si="17"/>
        <v>2.7652919019151612</v>
      </c>
      <c r="C238" s="4">
        <f t="shared" si="18"/>
        <v>4.280765590025557</v>
      </c>
      <c r="D238" s="4">
        <f t="shared" si="16"/>
        <v>185.5278858474077</v>
      </c>
      <c r="E238" s="4">
        <f t="shared" si="19"/>
        <v>178.92623123349719</v>
      </c>
    </row>
    <row r="239" spans="1:5" x14ac:dyDescent="0.4">
      <c r="A239">
        <v>85.25</v>
      </c>
      <c r="B239" s="4">
        <f t="shared" si="17"/>
        <v>2.7636137453916034</v>
      </c>
      <c r="C239" s="4">
        <f t="shared" si="18"/>
        <v>4.2720925743356553</v>
      </c>
      <c r="D239" s="4">
        <f t="shared" si="16"/>
        <v>185.51513392865272</v>
      </c>
      <c r="E239" s="4">
        <f t="shared" si="19"/>
        <v>178.92685455168095</v>
      </c>
    </row>
    <row r="240" spans="1:5" x14ac:dyDescent="0.4">
      <c r="A240">
        <v>85.5</v>
      </c>
      <c r="B240" s="4">
        <f t="shared" si="17"/>
        <v>2.7619404965882413</v>
      </c>
      <c r="C240" s="4">
        <f t="shared" si="18"/>
        <v>4.2634640253312677</v>
      </c>
      <c r="D240" s="4">
        <f t="shared" si="16"/>
        <v>185.50233696741714</v>
      </c>
      <c r="E240" s="4">
        <f t="shared" si="19"/>
        <v>178.92736425233753</v>
      </c>
    </row>
    <row r="241" spans="1:6" x14ac:dyDescent="0.4">
      <c r="A241">
        <v>85.75</v>
      </c>
      <c r="B241" s="4">
        <f t="shared" si="17"/>
        <v>2.7602721262502325</v>
      </c>
      <c r="C241" s="4">
        <f t="shared" si="18"/>
        <v>4.2548795859799693</v>
      </c>
      <c r="D241" s="4">
        <f t="shared" si="16"/>
        <v>185.489495567723</v>
      </c>
      <c r="E241" s="4">
        <f t="shared" si="19"/>
        <v>178.92776149009259</v>
      </c>
    </row>
    <row r="242" spans="1:6" x14ac:dyDescent="0.4">
      <c r="A242">
        <v>86</v>
      </c>
      <c r="B242" s="4">
        <f t="shared" si="17"/>
        <v>2.7586086053823728</v>
      </c>
      <c r="C242" s="4">
        <f t="shared" si="18"/>
        <v>4.2463389031494723</v>
      </c>
      <c r="D242" s="4">
        <f t="shared" si="16"/>
        <v>185.47661032576912</v>
      </c>
      <c r="E242" s="4">
        <f t="shared" si="19"/>
        <v>178.92804740573382</v>
      </c>
    </row>
    <row r="243" spans="1:6" x14ac:dyDescent="0.4">
      <c r="A243">
        <v>86.25</v>
      </c>
      <c r="B243" s="4">
        <f t="shared" si="17"/>
        <v>2.7569499052460387</v>
      </c>
      <c r="C243" s="4">
        <f t="shared" si="18"/>
        <v>4.2378416275537925</v>
      </c>
      <c r="D243" s="4">
        <f t="shared" si="16"/>
        <v>185.46368183004904</v>
      </c>
      <c r="E243" s="4">
        <f t="shared" si="19"/>
        <v>178.92822312641198</v>
      </c>
    </row>
    <row r="244" spans="1:6" x14ac:dyDescent="0.4">
      <c r="A244" s="3">
        <v>86.5</v>
      </c>
      <c r="B244" s="5">
        <f t="shared" si="17"/>
        <v>2.7552959973561824</v>
      </c>
      <c r="C244" s="5">
        <f>1/B244*(2/($B$9+1)*(1 + ($B$9-1)/2*B244^2))^(($B$9+1)/(2*$B$9-2))</f>
        <v>4.2293874137003593</v>
      </c>
      <c r="D244" s="5">
        <f t="shared" si="16"/>
        <v>185.45071066146676</v>
      </c>
      <c r="E244" s="5">
        <f t="shared" si="19"/>
        <v>178.92828976583829</v>
      </c>
      <c r="F244" s="2" t="s">
        <v>62</v>
      </c>
    </row>
    <row r="245" spans="1:6" x14ac:dyDescent="0.4">
      <c r="A245">
        <v>86.75</v>
      </c>
      <c r="B245" s="4">
        <f t="shared" si="17"/>
        <v>2.7536468534783611</v>
      </c>
      <c r="C245" s="4">
        <f t="shared" si="18"/>
        <v>4.22097591983795</v>
      </c>
      <c r="D245" s="4">
        <f t="shared" si="16"/>
        <v>185.43769739345049</v>
      </c>
      <c r="E245" s="4">
        <f t="shared" si="19"/>
        <v>178.92824842447831</v>
      </c>
    </row>
    <row r="246" spans="1:6" x14ac:dyDescent="0.4">
      <c r="A246">
        <v>87</v>
      </c>
      <c r="B246" s="4">
        <f t="shared" si="17"/>
        <v>2.752002445625815</v>
      </c>
      <c r="C246" s="4">
        <f t="shared" si="18"/>
        <v>4.2126068079055337</v>
      </c>
      <c r="D246" s="4">
        <f t="shared" si="16"/>
        <v>185.42464259206403</v>
      </c>
      <c r="E246" s="4">
        <f t="shared" si="19"/>
        <v>178.92810018974239</v>
      </c>
    </row>
    <row r="247" spans="1:6" x14ac:dyDescent="0.4">
      <c r="A247">
        <v>87.25</v>
      </c>
      <c r="B247" s="4">
        <f t="shared" si="17"/>
        <v>2.7503627460565903</v>
      </c>
      <c r="C247" s="4">
        <f t="shared" si="18"/>
        <v>4.2042797434819255</v>
      </c>
      <c r="D247" s="4">
        <f t="shared" si="16"/>
        <v>185.4115468161169</v>
      </c>
      <c r="E247" s="4">
        <f t="shared" si="19"/>
        <v>178.92784613617326</v>
      </c>
    </row>
    <row r="248" spans="1:6" x14ac:dyDescent="0.4">
      <c r="A248">
        <v>87.5</v>
      </c>
      <c r="B248" s="4">
        <f t="shared" si="17"/>
        <v>2.7487277272706914</v>
      </c>
      <c r="C248" s="4">
        <f t="shared" si="18"/>
        <v>4.1959943957362711</v>
      </c>
      <c r="D248" s="4">
        <f t="shared" si="16"/>
        <v>185.39841061727179</v>
      </c>
      <c r="E248" s="4">
        <f t="shared" si="19"/>
        <v>178.92748732563001</v>
      </c>
    </row>
    <row r="249" spans="1:6" x14ac:dyDescent="0.4">
      <c r="A249">
        <v>87.75</v>
      </c>
      <c r="B249" s="4">
        <f t="shared" si="17"/>
        <v>2.747097362007294</v>
      </c>
      <c r="C249" s="4">
        <f t="shared" si="18"/>
        <v>4.1877504373794006</v>
      </c>
      <c r="D249" s="4">
        <f t="shared" si="16"/>
        <v>185.3852345401508</v>
      </c>
      <c r="E249" s="4">
        <f t="shared" si="19"/>
        <v>178.92702480746922</v>
      </c>
    </row>
    <row r="250" spans="1:6" x14ac:dyDescent="0.4">
      <c r="A250">
        <v>88</v>
      </c>
      <c r="B250" s="4">
        <f t="shared" si="17"/>
        <v>2.7454716232419796</v>
      </c>
      <c r="C250" s="4">
        <f t="shared" si="18"/>
        <v>4.1795475446158736</v>
      </c>
      <c r="D250" s="4">
        <f t="shared" si="16"/>
        <v>185.37201912243958</v>
      </c>
      <c r="E250" s="4">
        <f t="shared" si="19"/>
        <v>178.92645961872304</v>
      </c>
    </row>
    <row r="251" spans="1:6" x14ac:dyDescent="0.4">
      <c r="A251">
        <v>88.25</v>
      </c>
      <c r="B251" s="4">
        <f t="shared" si="17"/>
        <v>2.7438504841840183</v>
      </c>
      <c r="C251" s="4">
        <f t="shared" si="18"/>
        <v>4.1713853970969206</v>
      </c>
      <c r="D251" s="4">
        <f t="shared" si="16"/>
        <v>185.35876489498938</v>
      </c>
      <c r="E251" s="4">
        <f t="shared" si="19"/>
        <v>178.92579278427414</v>
      </c>
    </row>
    <row r="252" spans="1:6" x14ac:dyDescent="0.4">
      <c r="A252">
        <v>88.5</v>
      </c>
      <c r="B252" s="4">
        <f t="shared" si="17"/>
        <v>2.7422339182736932</v>
      </c>
      <c r="C252" s="4">
        <f t="shared" si="18"/>
        <v>4.1632636778740588</v>
      </c>
      <c r="D252" s="4">
        <f t="shared" si="16"/>
        <v>185.34547238191794</v>
      </c>
      <c r="E252" s="4">
        <f t="shared" si="19"/>
        <v>178.92502531702755</v>
      </c>
    </row>
    <row r="253" spans="1:6" x14ac:dyDescent="0.4">
      <c r="A253">
        <v>88.75</v>
      </c>
      <c r="B253" s="4">
        <f t="shared" si="17"/>
        <v>2.7406218991796556</v>
      </c>
      <c r="C253" s="4">
        <f t="shared" si="18"/>
        <v>4.155182073353525</v>
      </c>
      <c r="D253" s="4">
        <f t="shared" si="16"/>
        <v>185.33214210070824</v>
      </c>
      <c r="E253" s="4">
        <f t="shared" si="19"/>
        <v>178.92415821808018</v>
      </c>
    </row>
    <row r="254" spans="1:6" x14ac:dyDescent="0.4">
      <c r="A254">
        <v>89</v>
      </c>
      <c r="B254" s="4">
        <f t="shared" si="17"/>
        <v>2.7390144007963233</v>
      </c>
      <c r="C254" s="4">
        <f t="shared" si="18"/>
        <v>4.1471402732514075</v>
      </c>
      <c r="D254" s="4">
        <f t="shared" si="16"/>
        <v>185.31877456230569</v>
      </c>
      <c r="E254" s="4">
        <f t="shared" si="19"/>
        <v>178.92319247688701</v>
      </c>
    </row>
    <row r="255" spans="1:6" x14ac:dyDescent="0.4">
      <c r="A255">
        <v>89.25</v>
      </c>
      <c r="B255" s="4">
        <f t="shared" si="17"/>
        <v>2.7374113972413121</v>
      </c>
      <c r="C255" s="4">
        <f t="shared" si="18"/>
        <v>4.1391379705495073</v>
      </c>
      <c r="D255" s="4">
        <f t="shared" si="16"/>
        <v>185.30537027121341</v>
      </c>
      <c r="E255" s="4">
        <f t="shared" si="19"/>
        <v>178.92212907142437</v>
      </c>
    </row>
    <row r="256" spans="1:6" x14ac:dyDescent="0.4">
      <c r="A256">
        <v>89.5</v>
      </c>
      <c r="B256" s="4">
        <f t="shared" si="17"/>
        <v>2.7358128628529084</v>
      </c>
      <c r="C256" s="4">
        <f t="shared" si="18"/>
        <v>4.1311748614519512</v>
      </c>
      <c r="D256" s="4">
        <f t="shared" si="16"/>
        <v>185.29192972558656</v>
      </c>
      <c r="E256" s="4">
        <f t="shared" si="19"/>
        <v>178.92096896835139</v>
      </c>
    </row>
    <row r="257" spans="1:5" x14ac:dyDescent="0.4">
      <c r="A257">
        <v>89.75</v>
      </c>
      <c r="B257" s="4">
        <f t="shared" si="17"/>
        <v>2.7342187721875719</v>
      </c>
      <c r="C257" s="4">
        <f t="shared" si="18"/>
        <v>4.1232506453424245</v>
      </c>
      <c r="D257" s="4">
        <f t="shared" si="16"/>
        <v>185.27845341732416</v>
      </c>
      <c r="E257" s="4">
        <f t="shared" si="19"/>
        <v>178.91971312316758</v>
      </c>
    </row>
    <row r="258" spans="1:5" x14ac:dyDescent="0.4">
      <c r="A258">
        <v>90</v>
      </c>
      <c r="B258" s="4">
        <f t="shared" si="17"/>
        <v>2.7326291000174772</v>
      </c>
      <c r="C258" s="4">
        <f t="shared" si="18"/>
        <v>4.1153650247421503</v>
      </c>
      <c r="D258" s="4">
        <f t="shared" si="16"/>
        <v>185.2649418321601</v>
      </c>
      <c r="E258" s="4">
        <f t="shared" si="19"/>
        <v>178.91836248036878</v>
      </c>
    </row>
    <row r="259" spans="1:5" x14ac:dyDescent="0.4">
      <c r="A259">
        <v>90.25</v>
      </c>
      <c r="B259" s="4">
        <f t="shared" si="17"/>
        <v>2.7310438213280892</v>
      </c>
      <c r="C259" s="4">
        <f t="shared" si="18"/>
        <v>4.1075177052685321</v>
      </c>
      <c r="D259" s="4">
        <f t="shared" si="16"/>
        <v>185.25139544975229</v>
      </c>
      <c r="E259" s="4">
        <f t="shared" si="19"/>
        <v>178.91691797359985</v>
      </c>
    </row>
    <row r="260" spans="1:5" x14ac:dyDescent="0.4">
      <c r="A260">
        <v>90.5</v>
      </c>
      <c r="B260" s="4">
        <f t="shared" si="17"/>
        <v>2.7294629113157711</v>
      </c>
      <c r="C260" s="4">
        <f t="shared" si="18"/>
        <v>4.0997083955944182</v>
      </c>
      <c r="D260" s="4">
        <f t="shared" si="16"/>
        <v>185.23781474377026</v>
      </c>
      <c r="E260" s="4">
        <f t="shared" si="19"/>
        <v>178.91538052580552</v>
      </c>
    </row>
    <row r="261" spans="1:5" x14ac:dyDescent="0.4">
      <c r="A261">
        <v>90.75</v>
      </c>
      <c r="B261" s="4">
        <f t="shared" si="17"/>
        <v>2.7278863453854258</v>
      </c>
      <c r="C261" s="4">
        <f t="shared" si="18"/>
        <v>4.0919368074080609</v>
      </c>
      <c r="D261" s="4">
        <f t="shared" si="16"/>
        <v>185.22420018198153</v>
      </c>
      <c r="E261" s="4">
        <f t="shared" si="19"/>
        <v>178.91375104937802</v>
      </c>
    </row>
    <row r="262" spans="1:5" x14ac:dyDescent="0.4">
      <c r="A262">
        <v>91</v>
      </c>
      <c r="B262" s="4">
        <f t="shared" si="17"/>
        <v>2.7263140991481731</v>
      </c>
      <c r="C262" s="4">
        <f t="shared" si="18"/>
        <v>4.084202655373665</v>
      </c>
      <c r="D262" s="4">
        <f t="shared" si="16"/>
        <v>185.21055222633618</v>
      </c>
      <c r="E262" s="4">
        <f t="shared" si="19"/>
        <v>178.91203044630282</v>
      </c>
    </row>
    <row r="263" spans="1:5" x14ac:dyDescent="0.4">
      <c r="A263">
        <v>91.25</v>
      </c>
      <c r="B263" s="4">
        <f t="shared" si="17"/>
        <v>2.7247461484190572</v>
      </c>
      <c r="C263" s="4">
        <f t="shared" si="18"/>
        <v>4.0765056570926017</v>
      </c>
      <c r="D263" s="4">
        <f t="shared" si="16"/>
        <v>185.19687133305038</v>
      </c>
      <c r="E263" s="4">
        <f t="shared" si="19"/>
        <v>178.91021960830199</v>
      </c>
    </row>
    <row r="264" spans="1:5" x14ac:dyDescent="0.4">
      <c r="A264">
        <v>91.5</v>
      </c>
      <c r="B264" s="4">
        <f t="shared" si="17"/>
        <v>2.7231824692147804</v>
      </c>
      <c r="C264" s="4">
        <f t="shared" si="18"/>
        <v>4.0688455330651898</v>
      </c>
      <c r="D264" s="4">
        <f t="shared" si="16"/>
        <v>185.18315795268839</v>
      </c>
      <c r="E264" s="4">
        <f t="shared" si="19"/>
        <v>178.90831941697482</v>
      </c>
    </row>
    <row r="265" spans="1:5" x14ac:dyDescent="0.4">
      <c r="A265">
        <v>91.75</v>
      </c>
      <c r="B265" s="4">
        <f t="shared" si="17"/>
        <v>2.7216230377514821</v>
      </c>
      <c r="C265" s="4">
        <f t="shared" si="18"/>
        <v>4.0612220066531215</v>
      </c>
      <c r="D265" s="4">
        <f t="shared" si="16"/>
        <v>185.16941253024288</v>
      </c>
      <c r="E265" s="4">
        <f t="shared" si="19"/>
        <v>178.90633074393642</v>
      </c>
    </row>
    <row r="266" spans="1:5" x14ac:dyDescent="0.4">
      <c r="A266">
        <v>92</v>
      </c>
      <c r="B266" s="4">
        <f t="shared" si="17"/>
        <v>2.7200678304425301</v>
      </c>
      <c r="C266" s="4">
        <f t="shared" si="18"/>
        <v>4.0536348040424199</v>
      </c>
      <c r="D266" s="4">
        <f t="shared" si="16"/>
        <v>185.1556355052146</v>
      </c>
      <c r="E266" s="4">
        <f t="shared" si="19"/>
        <v>178.90425445095437</v>
      </c>
    </row>
    <row r="267" spans="1:5" x14ac:dyDescent="0.4">
      <c r="A267">
        <v>92.25</v>
      </c>
      <c r="B267" s="4">
        <f t="shared" si="17"/>
        <v>2.7185168238963593</v>
      </c>
      <c r="C267" s="4">
        <f t="shared" si="18"/>
        <v>4.0460836542070506</v>
      </c>
      <c r="D267" s="4">
        <f t="shared" si="16"/>
        <v>185.14182731169007</v>
      </c>
      <c r="E267" s="4">
        <f t="shared" si="19"/>
        <v>178.90209139008255</v>
      </c>
    </row>
    <row r="268" spans="1:5" x14ac:dyDescent="0.4">
      <c r="A268">
        <v>92.5</v>
      </c>
      <c r="B268" s="4">
        <f t="shared" si="17"/>
        <v>2.7169699949143276</v>
      </c>
      <c r="C268" s="4">
        <f t="shared" si="18"/>
        <v>4.0385682888730248</v>
      </c>
      <c r="D268" s="4">
        <f t="shared" si="16"/>
        <v>185.12798837841825</v>
      </c>
      <c r="E268" s="4">
        <f t="shared" si="19"/>
        <v>178.89984240379314</v>
      </c>
    </row>
    <row r="269" spans="1:5" x14ac:dyDescent="0.4">
      <c r="A269">
        <v>92.75</v>
      </c>
      <c r="B269" s="4">
        <f t="shared" si="17"/>
        <v>2.7154273204886086</v>
      </c>
      <c r="C269" s="4">
        <f t="shared" si="18"/>
        <v>4.0310884424831039</v>
      </c>
      <c r="D269" s="4">
        <f t="shared" si="16"/>
        <v>185.11411912888605</v>
      </c>
      <c r="E269" s="4">
        <f t="shared" si="19"/>
        <v>178.89750832510666</v>
      </c>
    </row>
    <row r="270" spans="1:5" x14ac:dyDescent="0.4">
      <c r="A270">
        <v>93</v>
      </c>
      <c r="B270" s="4">
        <f t="shared" si="17"/>
        <v>2.7138887778001077</v>
      </c>
      <c r="C270" s="4">
        <f t="shared" si="18"/>
        <v>4.0236438521620546</v>
      </c>
      <c r="D270" s="4">
        <f t="shared" si="16"/>
        <v>185.1002199813926</v>
      </c>
      <c r="E270" s="4">
        <f t="shared" si="19"/>
        <v>178.89508997771964</v>
      </c>
    </row>
    <row r="271" spans="1:5" x14ac:dyDescent="0.4">
      <c r="A271">
        <v>93.25</v>
      </c>
      <c r="B271" s="4">
        <f t="shared" si="17"/>
        <v>2.7123543442164126</v>
      </c>
      <c r="C271" s="4">
        <f t="shared" si="18"/>
        <v>4.0162342576823944</v>
      </c>
      <c r="D271" s="4">
        <f t="shared" ref="D271:D318" si="20">$B$6*$B$12/9.81*($B$9*SQRT(2/($B$9-1)*(2/($B$9+1))^(($B$9+1)/($B$9-1))*(1 - (A271/$B$3)^(($B$9-1)/$B$9))) + C271/$B$3*(A271 - $E$5))</f>
        <v>185.08629134912186</v>
      </c>
      <c r="E271" s="4">
        <f t="shared" si="19"/>
        <v>178.89258817613029</v>
      </c>
    </row>
    <row r="272" spans="1:5" x14ac:dyDescent="0.4">
      <c r="A272">
        <v>93.5</v>
      </c>
      <c r="B272" s="4">
        <f t="shared" ref="B272:B318" si="21">SQRT(2/($B$9-1)*((A272/$B$3)^((1-$B$9)/$B$9) - 1))</f>
        <v>2.7108239972897628</v>
      </c>
      <c r="C272" s="4">
        <f t="shared" ref="C272:C318" si="22">1/B272*(2/($B$9+1)*(1 + ($B$9-1)/2*B272^2))^(($B$9+1)/(2*$B$9-2))</f>
        <v>4.0088594014307217</v>
      </c>
      <c r="D272" s="4">
        <f t="shared" si="20"/>
        <v>185.07233364021482</v>
      </c>
      <c r="E272" s="4">
        <f t="shared" ref="E272:E318" si="23">$B$6*$B$12/9.81*($B$9*SQRT(2/($B$9-1)*(2/($B$9+1))^(($B$9+1)/($B$9-1))*(1 - (A272/$B$3)^(($B$9-1)/$B$9))) + C272/$B$3*(A272 - $E$4))</f>
        <v>178.89000372576234</v>
      </c>
    </row>
    <row r="273" spans="1:5" x14ac:dyDescent="0.4">
      <c r="A273">
        <v>93.75</v>
      </c>
      <c r="B273" s="4">
        <f t="shared" si="21"/>
        <v>2.7092977147550563</v>
      </c>
      <c r="C273" s="4">
        <f t="shared" si="22"/>
        <v>4.0015190283745339</v>
      </c>
      <c r="D273" s="4">
        <f t="shared" si="20"/>
        <v>185.05834725783959</v>
      </c>
      <c r="E273" s="4">
        <f t="shared" si="23"/>
        <v>178.88733742308671</v>
      </c>
    </row>
    <row r="274" spans="1:5" x14ac:dyDescent="0.4">
      <c r="A274">
        <v>94</v>
      </c>
      <c r="B274" s="4">
        <f t="shared" si="21"/>
        <v>2.7077754745278755</v>
      </c>
      <c r="C274" s="4">
        <f t="shared" si="22"/>
        <v>3.9942128860295463</v>
      </c>
      <c r="D274" s="4">
        <f t="shared" si="20"/>
        <v>185.04433260026141</v>
      </c>
      <c r="E274" s="4">
        <f t="shared" si="23"/>
        <v>178.8845900557414</v>
      </c>
    </row>
    <row r="275" spans="1:5" x14ac:dyDescent="0.4">
      <c r="A275">
        <v>94.25</v>
      </c>
      <c r="B275" s="4">
        <f t="shared" si="21"/>
        <v>2.7062572547025439</v>
      </c>
      <c r="C275" s="4">
        <f t="shared" si="22"/>
        <v>3.9869407244275319</v>
      </c>
      <c r="D275" s="4">
        <f t="shared" si="20"/>
        <v>185.0302900609106</v>
      </c>
      <c r="E275" s="4">
        <f t="shared" si="23"/>
        <v>178.88176240264946</v>
      </c>
    </row>
    <row r="276" spans="1:5" x14ac:dyDescent="0.4">
      <c r="A276">
        <v>94.5</v>
      </c>
      <c r="B276" s="4">
        <f t="shared" si="21"/>
        <v>2.704743033550209</v>
      </c>
      <c r="C276" s="4">
        <f t="shared" si="22"/>
        <v>3.979702296084652</v>
      </c>
      <c r="D276" s="4">
        <f t="shared" si="20"/>
        <v>185.01622002844988</v>
      </c>
      <c r="E276" s="4">
        <f t="shared" si="23"/>
        <v>178.87885523413496</v>
      </c>
    </row>
    <row r="277" spans="1:5" x14ac:dyDescent="0.4">
      <c r="A277">
        <v>94.75</v>
      </c>
      <c r="B277" s="4">
        <f t="shared" si="21"/>
        <v>2.7032327895169441</v>
      </c>
      <c r="C277" s="4">
        <f t="shared" si="22"/>
        <v>3.9724973559702255</v>
      </c>
      <c r="D277" s="4">
        <f t="shared" si="20"/>
        <v>185.0021228868404</v>
      </c>
      <c r="E277" s="4">
        <f t="shared" si="23"/>
        <v>178.87586931203728</v>
      </c>
    </row>
    <row r="278" spans="1:5" x14ac:dyDescent="0.4">
      <c r="A278">
        <v>95</v>
      </c>
      <c r="B278" s="4">
        <f t="shared" si="21"/>
        <v>2.7017265012218861</v>
      </c>
      <c r="C278" s="4">
        <f t="shared" si="22"/>
        <v>3.9653256614760322</v>
      </c>
      <c r="D278" s="4">
        <f t="shared" si="20"/>
        <v>184.98799901540696</v>
      </c>
      <c r="E278" s="4">
        <f t="shared" si="23"/>
        <v>178.87280538982353</v>
      </c>
    </row>
    <row r="279" spans="1:5" x14ac:dyDescent="0.4">
      <c r="A279">
        <v>95.25</v>
      </c>
      <c r="B279" s="4">
        <f t="shared" si="21"/>
        <v>2.7002241474553896</v>
      </c>
      <c r="C279" s="4">
        <f t="shared" si="22"/>
        <v>3.9581869723860406</v>
      </c>
      <c r="D279" s="4">
        <f t="shared" si="20"/>
        <v>184.97384878890196</v>
      </c>
      <c r="E279" s="4">
        <f t="shared" si="23"/>
        <v>178.86966421269935</v>
      </c>
    </row>
    <row r="280" spans="1:5" x14ac:dyDescent="0.4">
      <c r="A280">
        <v>95.5</v>
      </c>
      <c r="B280" s="4">
        <f t="shared" si="21"/>
        <v>2.6987257071772106</v>
      </c>
      <c r="C280" s="4">
        <f t="shared" si="22"/>
        <v>3.9510810508466219</v>
      </c>
      <c r="D280" s="4">
        <f t="shared" si="20"/>
        <v>184.95967257756845</v>
      </c>
      <c r="E280" s="4">
        <f t="shared" si="23"/>
        <v>178.86644651771772</v>
      </c>
    </row>
    <row r="281" spans="1:5" x14ac:dyDescent="0.4">
      <c r="A281">
        <v>95.75</v>
      </c>
      <c r="B281" s="4">
        <f t="shared" si="21"/>
        <v>2.697231159514708</v>
      </c>
      <c r="C281" s="4">
        <f t="shared" si="22"/>
        <v>3.9440076613371557</v>
      </c>
      <c r="D281" s="4">
        <f t="shared" si="20"/>
        <v>184.94547074720208</v>
      </c>
      <c r="E281" s="4">
        <f t="shared" si="23"/>
        <v>178.86315303388633</v>
      </c>
    </row>
    <row r="282" spans="1:5" x14ac:dyDescent="0.4">
      <c r="A282">
        <v>96</v>
      </c>
      <c r="B282" s="4">
        <f t="shared" si="21"/>
        <v>2.6957404837610768</v>
      </c>
      <c r="C282" s="4">
        <f t="shared" si="22"/>
        <v>3.9369665706411525</v>
      </c>
      <c r="D282" s="4">
        <f t="shared" si="20"/>
        <v>184.9312436592119</v>
      </c>
      <c r="E282" s="4">
        <f t="shared" si="23"/>
        <v>178.85978448227306</v>
      </c>
    </row>
    <row r="283" spans="1:5" x14ac:dyDescent="0.4">
      <c r="A283">
        <v>96.25</v>
      </c>
      <c r="B283" s="4">
        <f t="shared" si="21"/>
        <v>2.6942536593735991</v>
      </c>
      <c r="C283" s="4">
        <f t="shared" si="22"/>
        <v>3.9299575478177475</v>
      </c>
      <c r="D283" s="4">
        <f t="shared" si="20"/>
        <v>184.91699167068074</v>
      </c>
      <c r="E283" s="4">
        <f t="shared" si="23"/>
        <v>178.85634157611003</v>
      </c>
    </row>
    <row r="284" spans="1:5" x14ac:dyDescent="0.4">
      <c r="A284">
        <v>96.5</v>
      </c>
      <c r="B284" s="4">
        <f t="shared" si="21"/>
        <v>2.6927706659719184</v>
      </c>
      <c r="C284" s="4">
        <f t="shared" si="22"/>
        <v>3.9229803641736583</v>
      </c>
      <c r="D284" s="4">
        <f t="shared" si="20"/>
        <v>184.90271513442423</v>
      </c>
      <c r="E284" s="4">
        <f t="shared" si="23"/>
        <v>178.85282502089601</v>
      </c>
    </row>
    <row r="285" spans="1:5" x14ac:dyDescent="0.4">
      <c r="A285">
        <v>96.75</v>
      </c>
      <c r="B285" s="4">
        <f t="shared" si="21"/>
        <v>2.6912914833363391</v>
      </c>
      <c r="C285" s="4">
        <f t="shared" si="22"/>
        <v>3.9160347932355339</v>
      </c>
      <c r="D285" s="4">
        <f t="shared" si="20"/>
        <v>184.88841439904854</v>
      </c>
      <c r="E285" s="4">
        <f t="shared" si="23"/>
        <v>178.84923551449691</v>
      </c>
    </row>
    <row r="286" spans="1:5" x14ac:dyDescent="0.4">
      <c r="A286">
        <v>97</v>
      </c>
      <c r="B286" s="4">
        <f t="shared" si="21"/>
        <v>2.6898160914061457</v>
      </c>
      <c r="C286" s="4">
        <f t="shared" si="22"/>
        <v>3.9091206107227312</v>
      </c>
      <c r="D286" s="4">
        <f t="shared" si="20"/>
        <v>184.87408980900818</v>
      </c>
      <c r="E286" s="4">
        <f t="shared" si="23"/>
        <v>178.8455737472454</v>
      </c>
    </row>
    <row r="287" spans="1:5" x14ac:dyDescent="0.4">
      <c r="A287">
        <v>97.25</v>
      </c>
      <c r="B287" s="4">
        <f t="shared" si="21"/>
        <v>2.6883444702779458</v>
      </c>
      <c r="C287" s="4">
        <f t="shared" si="22"/>
        <v>3.9022375945204897</v>
      </c>
      <c r="D287" s="4">
        <f t="shared" si="20"/>
        <v>184.85974170466184</v>
      </c>
      <c r="E287" s="4">
        <f t="shared" si="23"/>
        <v>178.8418404020382</v>
      </c>
    </row>
    <row r="288" spans="1:5" x14ac:dyDescent="0.4">
      <c r="A288">
        <v>97.5</v>
      </c>
      <c r="B288" s="4">
        <f t="shared" si="21"/>
        <v>2.6868766002040307</v>
      </c>
      <c r="C288" s="4">
        <f t="shared" si="22"/>
        <v>3.895385524653487</v>
      </c>
      <c r="D288" s="4">
        <f t="shared" si="20"/>
        <v>184.84537042232822</v>
      </c>
      <c r="E288" s="4">
        <f t="shared" si="23"/>
        <v>178.83803615443259</v>
      </c>
    </row>
    <row r="289" spans="1:5" x14ac:dyDescent="0.4">
      <c r="A289">
        <v>97.75</v>
      </c>
      <c r="B289" s="4">
        <f t="shared" si="21"/>
        <v>2.6854124615907651</v>
      </c>
      <c r="C289" s="4">
        <f t="shared" si="22"/>
        <v>3.8885641832598261</v>
      </c>
      <c r="D289" s="4">
        <f t="shared" si="20"/>
        <v>184.83097629434019</v>
      </c>
      <c r="E289" s="4">
        <f t="shared" si="23"/>
        <v>178.83416167274086</v>
      </c>
    </row>
    <row r="290" spans="1:5" x14ac:dyDescent="0.4">
      <c r="A290">
        <v>98</v>
      </c>
      <c r="B290" s="4">
        <f t="shared" si="21"/>
        <v>2.6839520349969863</v>
      </c>
      <c r="C290" s="4">
        <f t="shared" si="22"/>
        <v>3.8817733545653494</v>
      </c>
      <c r="D290" s="4">
        <f t="shared" si="20"/>
        <v>184.81655964909885</v>
      </c>
      <c r="E290" s="4">
        <f t="shared" si="23"/>
        <v>178.8302176181239</v>
      </c>
    </row>
    <row r="291" spans="1:5" x14ac:dyDescent="0.4">
      <c r="A291">
        <v>98.25</v>
      </c>
      <c r="B291" s="4">
        <f t="shared" si="21"/>
        <v>2.6824953011324371</v>
      </c>
      <c r="C291" s="4">
        <f t="shared" si="22"/>
        <v>3.8750128248583757</v>
      </c>
      <c r="D291" s="4">
        <f t="shared" si="20"/>
        <v>184.80212081112631</v>
      </c>
      <c r="E291" s="4">
        <f t="shared" si="23"/>
        <v>178.8262046446828</v>
      </c>
    </row>
    <row r="292" spans="1:5" x14ac:dyDescent="0.4">
      <c r="A292">
        <v>98.5</v>
      </c>
      <c r="B292" s="4">
        <f t="shared" si="21"/>
        <v>2.6810422408562053</v>
      </c>
      <c r="C292" s="4">
        <f t="shared" si="22"/>
        <v>3.8682823824647725</v>
      </c>
      <c r="D292" s="4">
        <f t="shared" si="20"/>
        <v>184.78766010111758</v>
      </c>
      <c r="E292" s="4">
        <f t="shared" si="23"/>
        <v>178.82212339954947</v>
      </c>
    </row>
    <row r="293" spans="1:5" x14ac:dyDescent="0.4">
      <c r="A293">
        <v>98.75</v>
      </c>
      <c r="B293" s="4">
        <f t="shared" si="21"/>
        <v>2.6795928351751965</v>
      </c>
      <c r="C293" s="4">
        <f t="shared" si="22"/>
        <v>3.8615818177234278</v>
      </c>
      <c r="D293" s="4">
        <f t="shared" si="20"/>
        <v>184.77317783599204</v>
      </c>
      <c r="E293" s="4">
        <f t="shared" si="23"/>
        <v>178.81797452297562</v>
      </c>
    </row>
    <row r="294" spans="1:5" x14ac:dyDescent="0.4">
      <c r="A294">
        <v>99</v>
      </c>
      <c r="B294" s="4">
        <f t="shared" si="21"/>
        <v>2.6781470652426145</v>
      </c>
      <c r="C294" s="4">
        <f t="shared" si="22"/>
        <v>3.8549109229620404</v>
      </c>
      <c r="D294" s="4">
        <f t="shared" si="20"/>
        <v>184.75867432894373</v>
      </c>
      <c r="E294" s="4">
        <f t="shared" si="23"/>
        <v>178.81375864842067</v>
      </c>
    </row>
    <row r="295" spans="1:5" x14ac:dyDescent="0.4">
      <c r="A295">
        <v>99.25</v>
      </c>
      <c r="B295" s="4">
        <f t="shared" si="21"/>
        <v>2.6767049123564686</v>
      </c>
      <c r="C295" s="4">
        <f t="shared" si="22"/>
        <v>3.8482694924732921</v>
      </c>
      <c r="D295" s="4">
        <f t="shared" si="20"/>
        <v>184.7441498894911</v>
      </c>
      <c r="E295" s="4">
        <f t="shared" si="23"/>
        <v>178.80947640263807</v>
      </c>
    </row>
    <row r="296" spans="1:5" x14ac:dyDescent="0.4">
      <c r="A296">
        <v>99.5</v>
      </c>
      <c r="B296" s="4">
        <f t="shared" si="21"/>
        <v>2.6752663579580975</v>
      </c>
      <c r="C296" s="4">
        <f t="shared" si="22"/>
        <v>3.8416573224913364</v>
      </c>
      <c r="D296" s="4">
        <f t="shared" si="20"/>
        <v>184.72960482352579</v>
      </c>
      <c r="E296" s="4">
        <f t="shared" si="23"/>
        <v>178.80512840576037</v>
      </c>
    </row>
    <row r="297" spans="1:5" x14ac:dyDescent="0.4">
      <c r="A297">
        <v>99.75</v>
      </c>
      <c r="B297" s="4">
        <f t="shared" si="21"/>
        <v>2.6738313836307128</v>
      </c>
      <c r="C297" s="4">
        <f t="shared" si="22"/>
        <v>3.8350742111686449</v>
      </c>
      <c r="D297" s="4">
        <f t="shared" si="20"/>
        <v>184.71503943336097</v>
      </c>
      <c r="E297" s="4">
        <f t="shared" si="23"/>
        <v>178.8007152713833</v>
      </c>
    </row>
    <row r="298" spans="1:5" x14ac:dyDescent="0.4">
      <c r="A298">
        <v>100</v>
      </c>
      <c r="B298" s="4">
        <f t="shared" si="21"/>
        <v>2.6723999710979602</v>
      </c>
      <c r="C298" s="4">
        <f t="shared" si="22"/>
        <v>3.8285199585532266</v>
      </c>
      <c r="D298" s="4">
        <f t="shared" si="20"/>
        <v>184.70045401777864</v>
      </c>
      <c r="E298" s="4">
        <f t="shared" si="23"/>
        <v>178.79623760664819</v>
      </c>
    </row>
    <row r="299" spans="1:5" x14ac:dyDescent="0.4">
      <c r="A299">
        <v>100.25</v>
      </c>
      <c r="B299" s="4">
        <f t="shared" si="21"/>
        <v>2.6709721022224984</v>
      </c>
      <c r="C299" s="4">
        <f t="shared" si="22"/>
        <v>3.8219943665660643</v>
      </c>
      <c r="D299" s="4">
        <f t="shared" si="20"/>
        <v>184.68584887207641</v>
      </c>
      <c r="E299" s="4">
        <f t="shared" si="23"/>
        <v>178.79169601232351</v>
      </c>
    </row>
    <row r="300" spans="1:5" x14ac:dyDescent="0.4">
      <c r="A300">
        <v>100.5</v>
      </c>
      <c r="B300" s="4">
        <f t="shared" si="21"/>
        <v>2.6695477590045944</v>
      </c>
      <c r="C300" s="4">
        <f t="shared" si="22"/>
        <v>3.8154972389789874</v>
      </c>
      <c r="D300" s="4">
        <f t="shared" si="20"/>
        <v>184.67122428811311</v>
      </c>
      <c r="E300" s="4">
        <f t="shared" si="23"/>
        <v>178.78709108288473</v>
      </c>
    </row>
    <row r="301" spans="1:5" x14ac:dyDescent="0.4">
      <c r="A301">
        <v>100.75</v>
      </c>
      <c r="B301" s="4">
        <f t="shared" si="21"/>
        <v>2.6681269235807421</v>
      </c>
      <c r="C301" s="4">
        <f t="shared" si="22"/>
        <v>3.8090283813928032</v>
      </c>
      <c r="D301" s="4">
        <f t="shared" si="20"/>
        <v>184.65658055435466</v>
      </c>
      <c r="E301" s="4">
        <f t="shared" si="23"/>
        <v>178.78242340659367</v>
      </c>
    </row>
    <row r="302" spans="1:5" x14ac:dyDescent="0.4">
      <c r="A302">
        <v>101</v>
      </c>
      <c r="B302" s="4">
        <f t="shared" si="21"/>
        <v>2.6667095782222932</v>
      </c>
      <c r="C302" s="4">
        <f t="shared" si="22"/>
        <v>3.8025876012157558</v>
      </c>
      <c r="D302" s="4">
        <f t="shared" si="20"/>
        <v>184.64191795591799</v>
      </c>
      <c r="E302" s="4">
        <f t="shared" si="23"/>
        <v>178.77769356557593</v>
      </c>
    </row>
    <row r="303" spans="1:5" x14ac:dyDescent="0.4">
      <c r="A303">
        <v>101.25</v>
      </c>
      <c r="B303" s="4">
        <f t="shared" si="21"/>
        <v>2.6652957053341049</v>
      </c>
      <c r="C303" s="4">
        <f t="shared" si="22"/>
        <v>3.7961747076422925</v>
      </c>
      <c r="D303" s="4">
        <f t="shared" si="20"/>
        <v>184.62723677461562</v>
      </c>
      <c r="E303" s="4">
        <f t="shared" si="23"/>
        <v>178.77290213589797</v>
      </c>
    </row>
    <row r="304" spans="1:5" x14ac:dyDescent="0.4">
      <c r="A304">
        <v>101.5</v>
      </c>
      <c r="B304" s="4">
        <f t="shared" si="21"/>
        <v>2.6638852874532093</v>
      </c>
      <c r="C304" s="4">
        <f t="shared" si="22"/>
        <v>3.7897895116321192</v>
      </c>
      <c r="D304" s="4">
        <f t="shared" si="20"/>
        <v>184.61253728899828</v>
      </c>
      <c r="E304" s="4">
        <f t="shared" si="23"/>
        <v>178.76804968764228</v>
      </c>
    </row>
    <row r="305" spans="1:5" x14ac:dyDescent="0.4">
      <c r="A305">
        <v>101.75</v>
      </c>
      <c r="B305" s="4">
        <f t="shared" si="21"/>
        <v>2.6624783072474925</v>
      </c>
      <c r="C305" s="4">
        <f t="shared" si="22"/>
        <v>3.7834318258895614</v>
      </c>
      <c r="D305" s="4">
        <f t="shared" si="20"/>
        <v>184.59781977439783</v>
      </c>
      <c r="E305" s="4">
        <f t="shared" si="23"/>
        <v>178.76313678498175</v>
      </c>
    </row>
    <row r="306" spans="1:5" x14ac:dyDescent="0.4">
      <c r="A306">
        <v>102</v>
      </c>
      <c r="B306" s="4">
        <f t="shared" si="21"/>
        <v>2.6610747475143963</v>
      </c>
      <c r="C306" s="4">
        <f t="shared" si="22"/>
        <v>3.7771014648432244</v>
      </c>
      <c r="D306" s="4">
        <f t="shared" si="20"/>
        <v>184.58308450296917</v>
      </c>
      <c r="E306" s="4">
        <f t="shared" si="23"/>
        <v>178.75816398625346</v>
      </c>
    </row>
    <row r="307" spans="1:5" x14ac:dyDescent="0.4">
      <c r="A307">
        <v>102.25</v>
      </c>
      <c r="B307" s="4">
        <f t="shared" si="21"/>
        <v>2.6596745911796331</v>
      </c>
      <c r="C307" s="4">
        <f t="shared" si="22"/>
        <v>3.7707982446259236</v>
      </c>
      <c r="D307" s="4">
        <f t="shared" si="20"/>
        <v>184.56833174373153</v>
      </c>
      <c r="E307" s="4">
        <f t="shared" si="23"/>
        <v>178.75313184403046</v>
      </c>
    </row>
    <row r="308" spans="1:5" x14ac:dyDescent="0.4">
      <c r="A308">
        <v>102.5</v>
      </c>
      <c r="B308" s="4">
        <f t="shared" si="21"/>
        <v>2.6582778212959171</v>
      </c>
      <c r="C308" s="4">
        <f t="shared" si="22"/>
        <v>3.7645219830549106</v>
      </c>
      <c r="D308" s="4">
        <f t="shared" si="20"/>
        <v>184.55356176260909</v>
      </c>
      <c r="E308" s="4">
        <f t="shared" si="23"/>
        <v>178.74804090519308</v>
      </c>
    </row>
    <row r="309" spans="1:5" x14ac:dyDescent="0.4">
      <c r="A309">
        <v>102.75</v>
      </c>
      <c r="B309" s="4">
        <f t="shared" si="21"/>
        <v>2.6568844210417075</v>
      </c>
      <c r="C309" s="4">
        <f t="shared" si="22"/>
        <v>3.7582724996123535</v>
      </c>
      <c r="D309" s="4">
        <f t="shared" si="20"/>
        <v>184.53877482247103</v>
      </c>
      <c r="E309" s="4">
        <f t="shared" si="23"/>
        <v>178.7428917109992</v>
      </c>
    </row>
    <row r="310" spans="1:5" x14ac:dyDescent="0.4">
      <c r="A310">
        <v>103</v>
      </c>
      <c r="B310" s="4">
        <f t="shared" si="21"/>
        <v>2.6554943737199777</v>
      </c>
      <c r="C310" s="4">
        <f t="shared" si="22"/>
        <v>3.7520496154261442</v>
      </c>
      <c r="D310" s="4">
        <f t="shared" si="20"/>
        <v>184.52397118317128</v>
      </c>
      <c r="E310" s="4">
        <f t="shared" si="23"/>
        <v>178.73768479715326</v>
      </c>
    </row>
    <row r="311" spans="1:5" x14ac:dyDescent="0.4">
      <c r="A311">
        <v>103.25</v>
      </c>
      <c r="B311" s="4">
        <f t="shared" si="21"/>
        <v>2.6541076627569855</v>
      </c>
      <c r="C311" s="4">
        <f t="shared" si="22"/>
        <v>3.7458531532508981</v>
      </c>
      <c r="D311" s="4">
        <f t="shared" si="20"/>
        <v>184.50915110158707</v>
      </c>
      <c r="E311" s="4">
        <f t="shared" si="23"/>
        <v>178.73242069387456</v>
      </c>
    </row>
    <row r="312" spans="1:5" x14ac:dyDescent="0.4">
      <c r="A312">
        <v>103.5</v>
      </c>
      <c r="B312" s="4">
        <f t="shared" si="21"/>
        <v>2.6527242717010684</v>
      </c>
      <c r="C312" s="4">
        <f t="shared" si="22"/>
        <v>3.7396829374492673</v>
      </c>
      <c r="D312" s="4">
        <f t="shared" si="20"/>
        <v>184.49431483165748</v>
      </c>
      <c r="E312" s="4">
        <f t="shared" si="23"/>
        <v>178.72709992596415</v>
      </c>
    </row>
    <row r="313" spans="1:5" x14ac:dyDescent="0.4">
      <c r="A313">
        <v>103.75</v>
      </c>
      <c r="B313" s="4">
        <f t="shared" si="21"/>
        <v>2.6513441842214522</v>
      </c>
      <c r="C313" s="4">
        <f t="shared" si="22"/>
        <v>3.7335387939735205</v>
      </c>
      <c r="D313" s="4">
        <f t="shared" si="20"/>
        <v>184.47946262442096</v>
      </c>
      <c r="E313" s="4">
        <f t="shared" si="23"/>
        <v>178.72172301287122</v>
      </c>
    </row>
    <row r="314" spans="1:5" x14ac:dyDescent="0.4">
      <c r="A314">
        <v>104</v>
      </c>
      <c r="B314" s="4">
        <f t="shared" si="21"/>
        <v>2.6499673841070686</v>
      </c>
      <c r="C314" s="4">
        <f t="shared" si="22"/>
        <v>3.7274205503473361</v>
      </c>
      <c r="D314" s="4">
        <f t="shared" si="20"/>
        <v>184.46459472805284</v>
      </c>
      <c r="E314" s="4">
        <f t="shared" si="23"/>
        <v>178.71629046875833</v>
      </c>
    </row>
    <row r="315" spans="1:5" x14ac:dyDescent="0.4">
      <c r="A315">
        <v>104.25</v>
      </c>
      <c r="B315" s="4">
        <f t="shared" si="21"/>
        <v>2.6485938552653945</v>
      </c>
      <c r="C315" s="4">
        <f t="shared" si="22"/>
        <v>3.7213280356478879</v>
      </c>
      <c r="D315" s="4">
        <f t="shared" si="20"/>
        <v>184.44971138790163</v>
      </c>
      <c r="E315" s="4">
        <f t="shared" si="23"/>
        <v>178.71080280256544</v>
      </c>
    </row>
    <row r="316" spans="1:5" x14ac:dyDescent="0.4">
      <c r="A316">
        <v>104.5</v>
      </c>
      <c r="B316" s="4">
        <f t="shared" si="21"/>
        <v>2.6472235817212986</v>
      </c>
      <c r="C316" s="4">
        <f t="shared" si="22"/>
        <v>3.7152610804881396</v>
      </c>
      <c r="D316" s="4">
        <f t="shared" si="20"/>
        <v>184.43481284652535</v>
      </c>
      <c r="E316" s="4">
        <f t="shared" si="23"/>
        <v>178.70526051807369</v>
      </c>
    </row>
    <row r="317" spans="1:5" x14ac:dyDescent="0.4">
      <c r="A317">
        <v>104.75</v>
      </c>
      <c r="B317" s="4">
        <f t="shared" si="21"/>
        <v>2.6458565476159084</v>
      </c>
      <c r="C317" s="4">
        <f t="shared" si="22"/>
        <v>3.70921951699943</v>
      </c>
      <c r="D317" s="4">
        <f t="shared" si="20"/>
        <v>184.41989934372691</v>
      </c>
      <c r="E317" s="4">
        <f t="shared" si="23"/>
        <v>178.69966411396746</v>
      </c>
    </row>
    <row r="318" spans="1:5" x14ac:dyDescent="0.4">
      <c r="A318">
        <v>105</v>
      </c>
      <c r="B318" s="4">
        <f t="shared" si="21"/>
        <v>2.6444927372054843</v>
      </c>
      <c r="C318" s="4">
        <f t="shared" si="22"/>
        <v>3.7032031788142481</v>
      </c>
      <c r="D318" s="4">
        <f t="shared" si="20"/>
        <v>184.40497111658922</v>
      </c>
      <c r="E318" s="4">
        <f t="shared" si="23"/>
        <v>178.69401408389609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318"/>
  <sheetViews>
    <sheetView zoomScaleNormal="100" workbookViewId="0">
      <selection activeCell="E2" sqref="E2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6" x14ac:dyDescent="0.4">
      <c r="A1" t="s">
        <v>0</v>
      </c>
      <c r="B1" s="13">
        <f>CONVERT(10000, "ft", "m")</f>
        <v>3048</v>
      </c>
      <c r="C1" t="str">
        <f>"---&gt;"</f>
        <v>---&gt;</v>
      </c>
      <c r="D1" s="1" t="s">
        <v>1</v>
      </c>
      <c r="E1" s="4">
        <f>SQRT(2*9.81*(B1-500))*1.5</f>
        <v>335.38255768599538</v>
      </c>
      <c r="F1" s="10" t="s">
        <v>72</v>
      </c>
    </row>
    <row r="2" spans="1:16" x14ac:dyDescent="0.4">
      <c r="A2" t="s">
        <v>2</v>
      </c>
      <c r="B2" s="13">
        <v>4.5</v>
      </c>
    </row>
    <row r="3" spans="1:16" ht="17.149999999999999" x14ac:dyDescent="0.55000000000000004">
      <c r="A3" t="s">
        <v>3</v>
      </c>
      <c r="B3" s="14">
        <f>CONVERT(350,"psi","Pa")/1000</f>
        <v>2413.165052608927</v>
      </c>
      <c r="D3" t="s">
        <v>4</v>
      </c>
      <c r="E3">
        <v>1401</v>
      </c>
      <c r="F3" s="10" t="s">
        <v>78</v>
      </c>
    </row>
    <row r="4" spans="1:16" ht="17.149999999999999" x14ac:dyDescent="0.55000000000000004">
      <c r="A4" s="1" t="s">
        <v>77</v>
      </c>
      <c r="B4" s="13">
        <v>3500</v>
      </c>
      <c r="D4" t="s">
        <v>6</v>
      </c>
      <c r="E4" s="4">
        <f>101.325*(1 - 0.0065*E3/288.16)^(-9.81/-0.0065/287)</f>
        <v>85.581205816462187</v>
      </c>
      <c r="F4" s="2" t="s">
        <v>7</v>
      </c>
    </row>
    <row r="5" spans="1:16" ht="17.149999999999999" x14ac:dyDescent="0.55000000000000004">
      <c r="A5" s="1" t="s">
        <v>8</v>
      </c>
      <c r="B5">
        <v>0.9</v>
      </c>
      <c r="D5" s="1" t="s">
        <v>9</v>
      </c>
      <c r="E5" s="4">
        <f>101.325*(1 - 0.0065*2/3*B1/288.16)^(-9.81/-0.0065/287)</f>
        <v>79.170286101931538</v>
      </c>
      <c r="F5" s="2" t="s">
        <v>10</v>
      </c>
    </row>
    <row r="6" spans="1:16" x14ac:dyDescent="0.4">
      <c r="A6" s="1" t="s">
        <v>11</v>
      </c>
      <c r="B6">
        <v>0.9</v>
      </c>
      <c r="F6" s="10" t="s">
        <v>79</v>
      </c>
    </row>
    <row r="7" spans="1:16" ht="17.149999999999999" x14ac:dyDescent="0.55000000000000004">
      <c r="A7" s="1" t="s">
        <v>12</v>
      </c>
      <c r="B7">
        <f>19/30</f>
        <v>0.6333333333333333</v>
      </c>
    </row>
    <row r="9" spans="1:16" x14ac:dyDescent="0.4">
      <c r="A9" s="1" t="s">
        <v>13</v>
      </c>
      <c r="B9">
        <v>1.2343</v>
      </c>
      <c r="H9" t="s">
        <v>73</v>
      </c>
    </row>
    <row r="10" spans="1:16" x14ac:dyDescent="0.4">
      <c r="A10" s="1" t="s">
        <v>15</v>
      </c>
      <c r="B10">
        <v>23.103000000000002</v>
      </c>
      <c r="C10" t="str">
        <f>"---&gt;"</f>
        <v>---&gt;</v>
      </c>
      <c r="D10" t="s">
        <v>16</v>
      </c>
      <c r="E10">
        <f>8314/B10</f>
        <v>359.86668398043543</v>
      </c>
      <c r="H10" s="4">
        <f>E240</f>
        <v>185.18741297938845</v>
      </c>
      <c r="I10">
        <f>(H10-'OF4'!H10)/H10%</f>
        <v>3.3798858749902267</v>
      </c>
      <c r="N10" s="6"/>
    </row>
    <row r="11" spans="1:16" ht="17.149999999999999" x14ac:dyDescent="0.55000000000000004">
      <c r="A11" s="1" t="s">
        <v>17</v>
      </c>
      <c r="B11">
        <v>2825.98</v>
      </c>
    </row>
    <row r="12" spans="1:16" x14ac:dyDescent="0.4">
      <c r="A12" s="1" t="s">
        <v>18</v>
      </c>
      <c r="B12" s="4">
        <f>B5*SQRT(B9*E10*B11)/B9/(2/(B9 + 1))^((B9 + 1)/(2*B9 - 2))</f>
        <v>1385.4302060307175</v>
      </c>
      <c r="H12" t="s">
        <v>19</v>
      </c>
      <c r="J12" t="s">
        <v>20</v>
      </c>
      <c r="M12" t="s">
        <v>21</v>
      </c>
      <c r="P12" s="10" t="s">
        <v>63</v>
      </c>
    </row>
    <row r="13" spans="1:16" ht="17.149999999999999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s="1" t="s">
        <v>28</v>
      </c>
      <c r="N13" s="4">
        <f>C240</f>
        <v>4.4094748743202601</v>
      </c>
      <c r="O13" t="s">
        <v>64</v>
      </c>
    </row>
    <row r="14" spans="1:16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25</v>
      </c>
      <c r="N14">
        <f>I26*B12/(B3*1000)</f>
        <v>1.1060765811352622E-3</v>
      </c>
      <c r="O14" s="18">
        <f>SQRT(N14/PI())*2</f>
        <v>3.7527329276233964E-2</v>
      </c>
      <c r="P14" s="10" t="s">
        <v>65</v>
      </c>
    </row>
    <row r="15" spans="1:16" ht="17.600000000000001" x14ac:dyDescent="0.55000000000000004">
      <c r="A15">
        <v>29.5</v>
      </c>
      <c r="B15" s="4">
        <f>SQRT(2/($B$9-1)*((A15/$B$3)^((1-$B$9)/$B$9) - 1))</f>
        <v>3.3404367470545555</v>
      </c>
      <c r="C15" s="4">
        <f>1/B15*(2/($B$9+1)*(1 + ($B$9-1)/2*B15^2))^(($B$9+1)/(2*$B$9-2))</f>
        <v>9.5064874290136565</v>
      </c>
      <c r="D15" s="4">
        <f t="shared" ref="D15:D78" si="0">$B$6*$B$12/9.81*($B$9*SQRT(2/($B$9-1)*(2/($B$9+1))^(($B$9+1)/($B$9-1))*(1 - (A15/$B$3)^(($B$9-1)/$B$9))) + C15/$B$3*(A15 - $E$5))</f>
        <v>178.57123256928739</v>
      </c>
      <c r="E15" s="4">
        <f>$B$6*$B$12/9.81*($B$9*SQRT(2/($B$9-1)*(2/($B$9+1))^(($B$9+1)/($B$9-1))*(1 - (A15/$B$3)^(($B$9-1)/$B$9))) + C15/$B$3*(A15 - $E$4))</f>
        <v>175.36118444446961</v>
      </c>
      <c r="H15" s="1" t="s">
        <v>33</v>
      </c>
      <c r="I15">
        <f>0.5*B3/E10/B11*1^2</f>
        <v>1.1864414352845897E-3</v>
      </c>
      <c r="J15" s="2" t="s">
        <v>34</v>
      </c>
      <c r="M15" t="s">
        <v>32</v>
      </c>
      <c r="N15">
        <f>N14*N13</f>
        <v>4.877216893589993E-3</v>
      </c>
      <c r="O15" s="18">
        <f>SQRT(N15/PI())*2</f>
        <v>7.8802699301287693E-2</v>
      </c>
      <c r="P15" s="10" t="s">
        <v>66</v>
      </c>
    </row>
    <row r="16" spans="1:16" ht="17.149999999999999" x14ac:dyDescent="0.55000000000000004">
      <c r="A16">
        <v>29.75</v>
      </c>
      <c r="B16" s="4">
        <f t="shared" ref="B16:B79" si="1">SQRT(2/($B$9-1)*((A16/$B$3)^((1-$B$9)/$B$9) - 1))</f>
        <v>3.3357149363902305</v>
      </c>
      <c r="C16" s="4">
        <f t="shared" ref="C16:C79" si="2">1/B16*(2/($B$9+1)*(1 + ($B$9-1)/2*B16^2))^(($B$9+1)/(2*$B$9-2))</f>
        <v>9.4475085928906601</v>
      </c>
      <c r="D16" s="4">
        <f t="shared" si="0"/>
        <v>178.72514453826892</v>
      </c>
      <c r="E16" s="4">
        <f t="shared" ref="E16:E79" si="3">$B$6*$B$12/9.81*($B$9*SQRT(2/($B$9-1)*(2/($B$9+1))^(($B$9+1)/($B$9-1))*(1 - (A16/$B$3)^(($B$9-1)/$B$9))) + C16/$B$3*(A16 - $E$4))</f>
        <v>175.53501175060532</v>
      </c>
      <c r="H16" s="1" t="s">
        <v>36</v>
      </c>
      <c r="I16" s="16">
        <f>B3+I13+I14+I15</f>
        <v>2895.7992495721478</v>
      </c>
      <c r="J16" s="4">
        <f>CONVERT(I16*1000, "Pa", "psi")</f>
        <v>420.00017207878176</v>
      </c>
    </row>
    <row r="17" spans="1:19" x14ac:dyDescent="0.4">
      <c r="A17">
        <v>30</v>
      </c>
      <c r="B17" s="4">
        <f t="shared" si="1"/>
        <v>3.3310335087922911</v>
      </c>
      <c r="C17" s="4">
        <f t="shared" si="2"/>
        <v>9.3894007708211404</v>
      </c>
      <c r="D17" s="4">
        <f t="shared" si="0"/>
        <v>178.87601834067814</v>
      </c>
      <c r="E17" s="4">
        <f t="shared" si="3"/>
        <v>175.70550677553911</v>
      </c>
    </row>
    <row r="18" spans="1:19" x14ac:dyDescent="0.4">
      <c r="A18">
        <v>30.25</v>
      </c>
      <c r="B18" s="4">
        <f t="shared" si="1"/>
        <v>3.3263917787238562</v>
      </c>
      <c r="C18" s="4">
        <f t="shared" si="2"/>
        <v>9.3321439710095646</v>
      </c>
      <c r="D18" s="4">
        <f t="shared" si="0"/>
        <v>179.02392855981512</v>
      </c>
      <c r="E18" s="4">
        <f t="shared" si="3"/>
        <v>175.87275085318487</v>
      </c>
    </row>
    <row r="19" spans="1:19" ht="17.149999999999999" x14ac:dyDescent="0.55000000000000004">
      <c r="A19">
        <v>30.5</v>
      </c>
      <c r="B19" s="4">
        <f t="shared" si="1"/>
        <v>3.3217890778646746</v>
      </c>
      <c r="C19" s="4">
        <f t="shared" si="2"/>
        <v>9.2757188212254587</v>
      </c>
      <c r="D19" s="4">
        <f t="shared" si="0"/>
        <v>179.16894739687226</v>
      </c>
      <c r="E19" s="4">
        <f t="shared" si="3"/>
        <v>176.03682272614088</v>
      </c>
      <c r="H19" t="s">
        <v>37</v>
      </c>
      <c r="K19" t="s">
        <v>38</v>
      </c>
      <c r="L19" s="3" t="s">
        <v>74</v>
      </c>
    </row>
    <row r="20" spans="1:19" ht="17.600000000000001" x14ac:dyDescent="0.55000000000000004">
      <c r="A20">
        <v>30.75</v>
      </c>
      <c r="B20" s="4">
        <f t="shared" si="1"/>
        <v>3.3172247545412712</v>
      </c>
      <c r="C20" s="4">
        <f t="shared" si="2"/>
        <v>9.2201065447076225</v>
      </c>
      <c r="D20" s="4">
        <f t="shared" si="0"/>
        <v>179.31114476518002</v>
      </c>
      <c r="E20" s="4">
        <f t="shared" si="3"/>
        <v>176.19779864807171</v>
      </c>
      <c r="H20" t="s">
        <v>39</v>
      </c>
      <c r="I20" s="14">
        <f>CONVERT(60, "lbm", "kg")</f>
        <v>27.215542200000002</v>
      </c>
      <c r="K20" t="s">
        <v>40</v>
      </c>
      <c r="L20" s="13">
        <v>400</v>
      </c>
      <c r="M20" s="10" t="s">
        <v>41</v>
      </c>
    </row>
    <row r="21" spans="1:19" ht="17.600000000000001" x14ac:dyDescent="0.55000000000000004">
      <c r="A21">
        <v>31</v>
      </c>
      <c r="B21" s="4">
        <f t="shared" si="1"/>
        <v>3.3126981731804221</v>
      </c>
      <c r="C21" s="4">
        <f t="shared" si="2"/>
        <v>9.1652889371927362</v>
      </c>
      <c r="D21" s="4">
        <f t="shared" si="0"/>
        <v>179.45058838000546</v>
      </c>
      <c r="E21" s="4">
        <f t="shared" si="3"/>
        <v>176.35575248126375</v>
      </c>
      <c r="H21" t="s">
        <v>42</v>
      </c>
      <c r="I21" s="4">
        <f>I20*EXP(E1/H10/9.81)</f>
        <v>32.7335401716715</v>
      </c>
      <c r="K21" t="s">
        <v>43</v>
      </c>
      <c r="L21" s="21">
        <f>I28/1/L20</f>
        <v>3.940736579244963E-3</v>
      </c>
      <c r="M21" s="4">
        <f>L21*100^2</f>
        <v>39.407365792449632</v>
      </c>
      <c r="N21" t="s">
        <v>44</v>
      </c>
      <c r="O21" t="s">
        <v>67</v>
      </c>
    </row>
    <row r="22" spans="1:19" ht="17.149999999999999" x14ac:dyDescent="0.55000000000000004">
      <c r="A22">
        <v>31.25</v>
      </c>
      <c r="B22" s="4">
        <f t="shared" si="1"/>
        <v>3.3082087137848255</v>
      </c>
      <c r="C22" s="4">
        <f t="shared" si="2"/>
        <v>9.1112483450070911</v>
      </c>
      <c r="D22" s="4">
        <f t="shared" si="0"/>
        <v>179.58734384414834</v>
      </c>
      <c r="E22" s="4">
        <f t="shared" si="3"/>
        <v>176.51075578961877</v>
      </c>
      <c r="H22" t="s">
        <v>45</v>
      </c>
      <c r="I22" s="7">
        <f>I21-I20</f>
        <v>5.5179979716714982</v>
      </c>
      <c r="K22" t="s">
        <v>46</v>
      </c>
      <c r="L22" s="17">
        <f>2*SQRT(L21/PI())</f>
        <v>7.0834325352042843E-2</v>
      </c>
      <c r="M22" s="4">
        <f>L22*100</f>
        <v>7.0834325352042846</v>
      </c>
      <c r="N22" t="s">
        <v>47</v>
      </c>
      <c r="O22" s="8">
        <f>CONVERT(L22, "m", "in")</f>
        <v>2.7887529666158599</v>
      </c>
      <c r="P22" s="4"/>
    </row>
    <row r="23" spans="1:19" ht="17.149999999999999" x14ac:dyDescent="0.55000000000000004">
      <c r="A23">
        <v>31.5</v>
      </c>
      <c r="B23" s="4">
        <f t="shared" si="1"/>
        <v>3.3037557714299073</v>
      </c>
      <c r="C23" s="4">
        <f t="shared" si="2"/>
        <v>9.0579676441645276</v>
      </c>
      <c r="D23" s="4">
        <f t="shared" si="0"/>
        <v>179.72147472956172</v>
      </c>
      <c r="E23" s="4">
        <f t="shared" si="3"/>
        <v>176.66287792733283</v>
      </c>
      <c r="H23" t="s">
        <v>48</v>
      </c>
      <c r="I23" s="15">
        <f>I22/(1+B2)</f>
        <v>1.003272358485727</v>
      </c>
      <c r="K23" t="s">
        <v>49</v>
      </c>
      <c r="L23" s="18">
        <f>(I27*PI()^(0.5-1)/(0.155/1000*(4*I26)^0.5*900)*L22^(2*0.5-1))^(1/(0+1))</f>
        <v>0.51033100786507068</v>
      </c>
      <c r="M23" s="4">
        <f>L23*100</f>
        <v>51.03310078650707</v>
      </c>
      <c r="N23" t="s">
        <v>47</v>
      </c>
      <c r="O23" s="8">
        <f>CONVERT(L23, "m", "in")</f>
        <v>20.091771963191761</v>
      </c>
      <c r="P23" s="10" t="s">
        <v>68</v>
      </c>
    </row>
    <row r="24" spans="1:19" ht="17.149999999999999" x14ac:dyDescent="0.55000000000000004">
      <c r="A24">
        <v>31.75</v>
      </c>
      <c r="B24" s="4">
        <f t="shared" si="1"/>
        <v>3.2993387557807305</v>
      </c>
      <c r="C24" s="4">
        <f t="shared" si="2"/>
        <v>9.0054302204163896</v>
      </c>
      <c r="D24" s="4">
        <f t="shared" si="0"/>
        <v>179.85304265521205</v>
      </c>
      <c r="E24" s="4">
        <f t="shared" si="3"/>
        <v>176.81218612349264</v>
      </c>
      <c r="H24" t="s">
        <v>51</v>
      </c>
      <c r="I24" s="15">
        <f>I22-I23</f>
        <v>4.5147256131857709</v>
      </c>
      <c r="K24" t="s">
        <v>52</v>
      </c>
      <c r="L24" s="18">
        <f>SQRT(4*I23/PI()/L23/900/1 + L22^2)</f>
        <v>8.8310340501400547E-2</v>
      </c>
      <c r="M24" s="4">
        <f t="shared" ref="M24:M25" si="4">L24*100</f>
        <v>8.8310340501400546</v>
      </c>
      <c r="N24" t="s">
        <v>47</v>
      </c>
      <c r="O24" s="8">
        <f t="shared" ref="O24:O25" si="5">CONVERT(L24, "m", "in")</f>
        <v>3.4767850591102576</v>
      </c>
    </row>
    <row r="25" spans="1:19" ht="17.149999999999999" x14ac:dyDescent="0.55000000000000004">
      <c r="A25">
        <v>32</v>
      </c>
      <c r="B25" s="4">
        <f t="shared" si="1"/>
        <v>3.2949570906280714</v>
      </c>
      <c r="C25" s="4">
        <f t="shared" si="2"/>
        <v>8.9536199502032421</v>
      </c>
      <c r="D25" s="4">
        <f t="shared" si="0"/>
        <v>179.98210736137926</v>
      </c>
      <c r="E25" s="4">
        <f t="shared" si="3"/>
        <v>176.95874556280771</v>
      </c>
      <c r="H25" t="s">
        <v>53</v>
      </c>
      <c r="I25" s="7">
        <f>I20/I21</f>
        <v>0.83142678907529455</v>
      </c>
      <c r="K25" t="s">
        <v>54</v>
      </c>
      <c r="L25" s="18">
        <f>(L24-L22)/2</f>
        <v>8.7380075746788521E-3</v>
      </c>
      <c r="M25" s="4">
        <f t="shared" si="4"/>
        <v>0.87380075746788521</v>
      </c>
      <c r="N25" t="s">
        <v>47</v>
      </c>
      <c r="O25" s="4">
        <f t="shared" si="5"/>
        <v>0.34401604624719889</v>
      </c>
    </row>
    <row r="26" spans="1:19" ht="17.149999999999999" x14ac:dyDescent="0.55000000000000004">
      <c r="A26">
        <v>32.25</v>
      </c>
      <c r="B26" s="4">
        <f t="shared" si="1"/>
        <v>3.2906102134427466</v>
      </c>
      <c r="C26" s="4">
        <f t="shared" si="2"/>
        <v>8.902521182460994</v>
      </c>
      <c r="D26" s="4">
        <f t="shared" si="0"/>
        <v>180.10872678058601</v>
      </c>
      <c r="E26" s="4">
        <f t="shared" si="3"/>
        <v>177.10261946268318</v>
      </c>
      <c r="H26" t="s">
        <v>55</v>
      </c>
      <c r="I26" s="15">
        <f>B4/H10/9.81</f>
        <v>1.9265823276308709</v>
      </c>
      <c r="K26" t="s">
        <v>69</v>
      </c>
      <c r="M26">
        <v>0</v>
      </c>
    </row>
    <row r="27" spans="1:19" ht="17.149999999999999" x14ac:dyDescent="0.55000000000000004">
      <c r="A27">
        <v>32.5</v>
      </c>
      <c r="B27" s="4">
        <f t="shared" si="1"/>
        <v>3.2862975749473473</v>
      </c>
      <c r="C27" s="4">
        <f t="shared" si="2"/>
        <v>8.8521187212365504</v>
      </c>
      <c r="D27" s="4">
        <f t="shared" si="0"/>
        <v>180.23295710533316</v>
      </c>
      <c r="E27" s="4">
        <f t="shared" si="3"/>
        <v>177.24386914682549</v>
      </c>
      <c r="H27" t="s">
        <v>57</v>
      </c>
      <c r="I27" s="8">
        <f>I26/(1 + B2)</f>
        <v>0.35028769593288561</v>
      </c>
      <c r="L27" s="10" t="s">
        <v>70</v>
      </c>
      <c r="M27" s="20"/>
    </row>
    <row r="28" spans="1:19" ht="17.149999999999999" x14ac:dyDescent="0.55000000000000004">
      <c r="A28">
        <v>32.75</v>
      </c>
      <c r="B28" s="4">
        <f t="shared" si="1"/>
        <v>3.2820186387045589</v>
      </c>
      <c r="C28" s="4">
        <f t="shared" si="2"/>
        <v>8.8023978090712589</v>
      </c>
      <c r="D28" s="4">
        <f t="shared" si="0"/>
        <v>180.35485285280882</v>
      </c>
      <c r="E28" s="4">
        <f t="shared" si="3"/>
        <v>177.3825541155621</v>
      </c>
      <c r="H28" t="s">
        <v>58</v>
      </c>
      <c r="I28" s="7">
        <f>I26-I27</f>
        <v>1.5762946316979853</v>
      </c>
    </row>
    <row r="29" spans="1:19" x14ac:dyDescent="0.4">
      <c r="A29">
        <v>33</v>
      </c>
      <c r="B29" s="4">
        <f t="shared" si="1"/>
        <v>3.27777288072132</v>
      </c>
      <c r="C29" s="4">
        <f t="shared" si="2"/>
        <v>8.7533441111126518</v>
      </c>
      <c r="D29" s="4">
        <f t="shared" si="0"/>
        <v>180.47446692672702</v>
      </c>
      <c r="E29" s="4">
        <f t="shared" si="3"/>
        <v>177.5187321130455</v>
      </c>
      <c r="H29" s="1"/>
      <c r="I29" s="7"/>
      <c r="S29" s="7"/>
    </row>
    <row r="30" spans="1:19" x14ac:dyDescent="0.4">
      <c r="A30">
        <v>33.25</v>
      </c>
      <c r="B30" s="4">
        <f t="shared" si="1"/>
        <v>3.2735597890680772</v>
      </c>
      <c r="C30" s="4">
        <f t="shared" si="2"/>
        <v>8.7049436999171714</v>
      </c>
      <c r="D30" s="4">
        <f t="shared" si="0"/>
        <v>180.59185067644501</v>
      </c>
      <c r="E30" s="4">
        <f t="shared" si="3"/>
        <v>177.65245919150172</v>
      </c>
      <c r="K30" s="4"/>
      <c r="M30" s="4"/>
      <c r="N30" s="4"/>
    </row>
    <row r="31" spans="1:19" x14ac:dyDescent="0.4">
      <c r="A31">
        <v>33.5</v>
      </c>
      <c r="B31" s="4">
        <f t="shared" si="1"/>
        <v>3.2693788635124679</v>
      </c>
      <c r="C31" s="4">
        <f t="shared" si="2"/>
        <v>8.657183040909036</v>
      </c>
      <c r="D31" s="4">
        <f t="shared" si="0"/>
        <v>180.70705395349663</v>
      </c>
      <c r="E31" s="4">
        <f t="shared" si="3"/>
        <v>177.78378977267423</v>
      </c>
      <c r="H31" s="22" t="s">
        <v>75</v>
      </c>
    </row>
    <row r="32" spans="1:19" x14ac:dyDescent="0.4">
      <c r="A32">
        <v>33.75</v>
      </c>
      <c r="B32" s="4">
        <f t="shared" si="1"/>
        <v>3.2652296151667679</v>
      </c>
      <c r="C32" s="4">
        <f t="shared" si="2"/>
        <v>8.6100489784622951</v>
      </c>
      <c r="D32" s="4">
        <f t="shared" si="0"/>
        <v>180.82012516567369</v>
      </c>
      <c r="E32" s="4">
        <f t="shared" si="3"/>
        <v>177.91277670660466</v>
      </c>
      <c r="H32" t="s">
        <v>37</v>
      </c>
      <c r="K32" t="s">
        <v>38</v>
      </c>
    </row>
    <row r="33" spans="1:15" ht="17.600000000000001" x14ac:dyDescent="0.55000000000000004">
      <c r="A33">
        <v>34</v>
      </c>
      <c r="B33" s="4">
        <f t="shared" si="1"/>
        <v>3.2611115661484993</v>
      </c>
      <c r="C33" s="4">
        <f t="shared" si="2"/>
        <v>8.5635287225747501</v>
      </c>
      <c r="D33" s="4">
        <f t="shared" si="0"/>
        <v>180.93111132877914</v>
      </c>
      <c r="E33" s="4">
        <f t="shared" si="3"/>
        <v>178.03947132788596</v>
      </c>
      <c r="H33" t="s">
        <v>39</v>
      </c>
      <c r="I33" s="14">
        <f>I20</f>
        <v>27.215542200000002</v>
      </c>
      <c r="K33" t="s">
        <v>40</v>
      </c>
      <c r="L33" s="13">
        <v>679.33176893830841</v>
      </c>
      <c r="M33" s="10" t="s">
        <v>41</v>
      </c>
    </row>
    <row r="34" spans="1:15" ht="17.600000000000001" x14ac:dyDescent="0.55000000000000004">
      <c r="A34">
        <v>34.25</v>
      </c>
      <c r="B34" s="4">
        <f t="shared" si="1"/>
        <v>3.257024249253603</v>
      </c>
      <c r="C34" s="4">
        <f t="shared" si="2"/>
        <v>8.5176098361045494</v>
      </c>
      <c r="D34" s="4">
        <f t="shared" si="0"/>
        <v>181.04005811616739</v>
      </c>
      <c r="E34" s="4">
        <f t="shared" si="3"/>
        <v>178.16392350951244</v>
      </c>
      <c r="H34" t="s">
        <v>42</v>
      </c>
      <c r="I34" s="4">
        <f>I33+I35</f>
        <v>36.99331997777778</v>
      </c>
      <c r="K34" t="s">
        <v>43</v>
      </c>
      <c r="L34" s="21">
        <f>I41/1/L33</f>
        <v>2.3203605421861732E-3</v>
      </c>
      <c r="M34" s="4">
        <f>L34*100^2</f>
        <v>23.203605421861731</v>
      </c>
      <c r="N34" t="s">
        <v>44</v>
      </c>
      <c r="O34" t="s">
        <v>67</v>
      </c>
    </row>
    <row r="35" spans="1:15" ht="17.149999999999999" x14ac:dyDescent="0.55000000000000004">
      <c r="A35">
        <v>34.5</v>
      </c>
      <c r="B35" s="4">
        <f t="shared" si="1"/>
        <v>3.2529672076416394</v>
      </c>
      <c r="C35" s="4">
        <f t="shared" si="2"/>
        <v>8.4722802225420732</v>
      </c>
      <c r="D35" s="4">
        <f t="shared" si="0"/>
        <v>181.14700990618149</v>
      </c>
      <c r="E35" s="4">
        <f t="shared" si="3"/>
        <v>178.286181714446</v>
      </c>
      <c r="H35" t="s">
        <v>45</v>
      </c>
      <c r="I35" s="7">
        <f>I36+I37</f>
        <v>9.7777777777777786</v>
      </c>
      <c r="K35" t="s">
        <v>46</v>
      </c>
      <c r="L35" s="17">
        <f>2*SQRT(L34/PI())</f>
        <v>5.4354160837552797E-2</v>
      </c>
      <c r="M35" s="4">
        <f>L35*100</f>
        <v>5.4354160837552801</v>
      </c>
      <c r="N35" t="s">
        <v>47</v>
      </c>
      <c r="O35" s="8">
        <f>CONVERT(L35, "m", "in")</f>
        <v>2.1399275920296379</v>
      </c>
    </row>
    <row r="36" spans="1:15" ht="17.149999999999999" x14ac:dyDescent="0.55000000000000004">
      <c r="A36">
        <v>34.75</v>
      </c>
      <c r="B36" s="4">
        <f t="shared" si="1"/>
        <v>3.2489399945324662</v>
      </c>
      <c r="C36" s="4">
        <f t="shared" si="2"/>
        <v>8.427528114290272</v>
      </c>
      <c r="D36" s="4">
        <f t="shared" si="0"/>
        <v>181.25200982759233</v>
      </c>
      <c r="E36" s="4">
        <f t="shared" si="3"/>
        <v>178.40629304501272</v>
      </c>
      <c r="H36" t="s">
        <v>48</v>
      </c>
      <c r="I36" s="15">
        <f>I37/B2</f>
        <v>1.7777777777777777</v>
      </c>
      <c r="K36" t="s">
        <v>49</v>
      </c>
      <c r="L36" s="18">
        <f>(I40*PI()^(0.5-1)/(0.155/1000*(4*I39)^0.5*900)*L35^(2*0.5-1))^(1/(0+1))</f>
        <v>0.51033100786507068</v>
      </c>
      <c r="M36" s="4">
        <f>L36*100</f>
        <v>51.03310078650707</v>
      </c>
      <c r="N36" t="s">
        <v>47</v>
      </c>
      <c r="O36" s="8">
        <f t="shared" ref="O36:O38" si="6">CONVERT(L36, "m", "in")</f>
        <v>20.091771963191761</v>
      </c>
    </row>
    <row r="37" spans="1:15" ht="17.149999999999999" x14ac:dyDescent="0.55000000000000004">
      <c r="A37">
        <v>35</v>
      </c>
      <c r="B37" s="4">
        <f t="shared" si="1"/>
        <v>3.244942172913921</v>
      </c>
      <c r="C37" s="4">
        <f t="shared" si="2"/>
        <v>8.3833420614295537</v>
      </c>
      <c r="D37" s="4">
        <f t="shared" si="0"/>
        <v>181.35509980313566</v>
      </c>
      <c r="E37" s="4">
        <f t="shared" si="3"/>
        <v>178.52430329023377</v>
      </c>
      <c r="H37" t="s">
        <v>51</v>
      </c>
      <c r="I37" s="23">
        <v>8</v>
      </c>
      <c r="K37" t="s">
        <v>52</v>
      </c>
      <c r="L37" s="18">
        <f>SQRT(4*I36/PI()/L36/900/1 + L35^2)</f>
        <v>8.8784172467831518E-2</v>
      </c>
      <c r="M37" s="4">
        <f t="shared" ref="M37:M38" si="7">L37*100</f>
        <v>8.878417246783151</v>
      </c>
      <c r="N37" t="s">
        <v>47</v>
      </c>
      <c r="O37" s="8">
        <f t="shared" si="6"/>
        <v>3.4954398609382489</v>
      </c>
    </row>
    <row r="38" spans="1:15" ht="17.149999999999999" x14ac:dyDescent="0.55000000000000004">
      <c r="A38">
        <v>35.25</v>
      </c>
      <c r="B38" s="4">
        <f t="shared" si="1"/>
        <v>3.2409733152600206</v>
      </c>
      <c r="C38" s="4">
        <f t="shared" si="2"/>
        <v>8.3397109209435314</v>
      </c>
      <c r="D38" s="4">
        <f t="shared" si="0"/>
        <v>181.45632059124023</v>
      </c>
      <c r="E38" s="4">
        <f t="shared" si="3"/>
        <v>178.64025697119141</v>
      </c>
      <c r="H38" t="s">
        <v>53</v>
      </c>
      <c r="I38" s="7">
        <f>I33/I34</f>
        <v>0.73568801654862614</v>
      </c>
      <c r="K38" t="s">
        <v>54</v>
      </c>
      <c r="L38" s="18">
        <f>(L37-L35)/2</f>
        <v>1.7215005815139361E-2</v>
      </c>
      <c r="M38" s="4">
        <f t="shared" si="7"/>
        <v>1.7215005815139361</v>
      </c>
      <c r="N38" t="s">
        <v>47</v>
      </c>
      <c r="O38" s="4">
        <f t="shared" si="6"/>
        <v>0.6777561344543056</v>
      </c>
    </row>
    <row r="39" spans="1:15" ht="17.149999999999999" x14ac:dyDescent="0.55000000000000004">
      <c r="A39">
        <v>35.5</v>
      </c>
      <c r="B39" s="4">
        <f t="shared" si="1"/>
        <v>3.2370330032592216</v>
      </c>
      <c r="C39" s="4">
        <f t="shared" si="2"/>
        <v>8.2966238463835058</v>
      </c>
      <c r="D39" s="4">
        <f t="shared" si="0"/>
        <v>181.55571182603433</v>
      </c>
      <c r="E39" s="4">
        <f t="shared" si="3"/>
        <v>178.75419738452572</v>
      </c>
      <c r="H39" t="s">
        <v>55</v>
      </c>
      <c r="I39" s="15">
        <f>B4/H10/9.81</f>
        <v>1.9265823276308709</v>
      </c>
      <c r="L39" s="10" t="s">
        <v>70</v>
      </c>
    </row>
    <row r="40" spans="1:15" ht="17.149999999999999" x14ac:dyDescent="0.55000000000000004">
      <c r="A40">
        <v>35.75</v>
      </c>
      <c r="B40" s="4">
        <f t="shared" si="1"/>
        <v>3.233120827552332</v>
      </c>
      <c r="C40" s="4">
        <f t="shared" si="2"/>
        <v>8.2540702779511665</v>
      </c>
      <c r="D40" s="4">
        <f t="shared" si="0"/>
        <v>181.65331205571309</v>
      </c>
      <c r="E40" s="4">
        <f t="shared" si="3"/>
        <v>178.8661666441507</v>
      </c>
      <c r="H40" t="s">
        <v>57</v>
      </c>
      <c r="I40" s="8">
        <f>I39/(1 + B2)</f>
        <v>0.35028769593288561</v>
      </c>
      <c r="M40" s="20"/>
    </row>
    <row r="41" spans="1:15" ht="17.149999999999999" x14ac:dyDescent="0.55000000000000004">
      <c r="A41">
        <v>36</v>
      </c>
      <c r="B41" s="4">
        <f t="shared" si="1"/>
        <v>3.2292363874796473</v>
      </c>
      <c r="C41" s="4">
        <f t="shared" si="2"/>
        <v>8.212039932979609</v>
      </c>
      <c r="D41" s="4">
        <f t="shared" si="0"/>
        <v>181.74915877934376</v>
      </c>
      <c r="E41" s="4">
        <f t="shared" si="3"/>
        <v>178.97620572127352</v>
      </c>
      <c r="H41" t="s">
        <v>58</v>
      </c>
      <c r="I41" s="7">
        <f>I39-I40</f>
        <v>1.5762946316979853</v>
      </c>
    </row>
    <row r="42" spans="1:15" x14ac:dyDescent="0.4">
      <c r="A42">
        <v>36.25</v>
      </c>
      <c r="B42" s="4">
        <f t="shared" si="1"/>
        <v>3.2253792908369414</v>
      </c>
      <c r="C42" s="4">
        <f t="shared" si="2"/>
        <v>8.1705227967940548</v>
      </c>
      <c r="D42" s="4">
        <f t="shared" si="0"/>
        <v>181.84328848218419</v>
      </c>
      <c r="E42" s="4">
        <f t="shared" si="3"/>
        <v>179.08435448279948</v>
      </c>
    </row>
    <row r="43" spans="1:15" x14ac:dyDescent="0.4">
      <c r="A43">
        <v>36.5</v>
      </c>
      <c r="B43" s="4">
        <f t="shared" si="1"/>
        <v>3.221549153639927</v>
      </c>
      <c r="C43" s="4">
        <f t="shared" si="2"/>
        <v>8.1295091139345761</v>
      </c>
      <c r="D43" s="4">
        <f t="shared" si="0"/>
        <v>181.93573666958301</v>
      </c>
      <c r="E43" s="4">
        <f t="shared" si="3"/>
        <v>179.19065172819558</v>
      </c>
    </row>
    <row r="44" spans="1:15" x14ac:dyDescent="0.4">
      <c r="A44">
        <v>36.75</v>
      </c>
      <c r="B44" s="4">
        <f t="shared" si="1"/>
        <v>3.2177455998968503</v>
      </c>
      <c r="C44" s="4">
        <f t="shared" si="2"/>
        <v>8.0889893797243175</v>
      </c>
      <c r="D44" s="4">
        <f t="shared" si="0"/>
        <v>182.0265378995278</v>
      </c>
      <c r="E44" s="4">
        <f t="shared" si="3"/>
        <v>179.2951352248862</v>
      </c>
    </row>
    <row r="45" spans="1:15" x14ac:dyDescent="0.4">
      <c r="A45">
        <v>37</v>
      </c>
      <c r="B45" s="4">
        <f t="shared" si="1"/>
        <v>3.2139682613888803</v>
      </c>
      <c r="C45" s="4">
        <f t="shared" si="2"/>
        <v>8.0489543321671313</v>
      </c>
      <c r="D45" s="4">
        <f t="shared" si="0"/>
        <v>182.11572581390445</v>
      </c>
      <c r="E45" s="4">
        <f t="shared" si="3"/>
        <v>179.39784174224818</v>
      </c>
    </row>
    <row r="46" spans="1:15" x14ac:dyDescent="0.4">
      <c r="A46">
        <v>37.25</v>
      </c>
      <c r="B46" s="4">
        <f t="shared" si="1"/>
        <v>3.2102167774579669</v>
      </c>
      <c r="C46" s="4">
        <f t="shared" si="2"/>
        <v>8.0093949441596859</v>
      </c>
      <c r="D46" s="4">
        <f t="shared" si="0"/>
        <v>182.20333316852643</v>
      </c>
      <c r="E46" s="4">
        <f t="shared" si="3"/>
        <v>179.49880708426988</v>
      </c>
    </row>
    <row r="47" spans="1:15" x14ac:dyDescent="0.4">
      <c r="A47">
        <v>37.5</v>
      </c>
      <c r="B47" s="4">
        <f t="shared" si="1"/>
        <v>3.2064907948018808</v>
      </c>
      <c r="C47" s="4">
        <f t="shared" si="2"/>
        <v>7.9703024160040208</v>
      </c>
      <c r="D47" s="4">
        <f t="shared" si="0"/>
        <v>182.28939186199017</v>
      </c>
      <c r="E47" s="4">
        <f t="shared" si="3"/>
        <v>179.59806612093479</v>
      </c>
    </row>
    <row r="48" spans="1:15" x14ac:dyDescent="0.4">
      <c r="A48">
        <v>37.75</v>
      </c>
      <c r="B48" s="4">
        <f t="shared" si="1"/>
        <v>3.2027899672761326</v>
      </c>
      <c r="C48" s="4">
        <f t="shared" si="2"/>
        <v>7.9316681682067163</v>
      </c>
      <c r="D48" s="4">
        <f t="shared" si="0"/>
        <v>182.37393296340977</v>
      </c>
      <c r="E48" s="4">
        <f t="shared" si="3"/>
        <v>179.69565281838777</v>
      </c>
    </row>
    <row r="49" spans="1:5" x14ac:dyDescent="0.4">
      <c r="A49">
        <v>38</v>
      </c>
      <c r="B49" s="4">
        <f t="shared" si="1"/>
        <v>3.1991139557025012</v>
      </c>
      <c r="C49" s="4">
        <f t="shared" si="2"/>
        <v>7.8934838345521179</v>
      </c>
      <c r="D49" s="4">
        <f t="shared" si="0"/>
        <v>182.45698673908217</v>
      </c>
      <c r="E49" s="4">
        <f t="shared" si="3"/>
        <v>179.79160026793923</v>
      </c>
    </row>
    <row r="50" spans="1:5" x14ac:dyDescent="0.4">
      <c r="A50">
        <v>38.25</v>
      </c>
      <c r="B50" s="4">
        <f t="shared" si="1"/>
        <v>3.1954624276839119</v>
      </c>
      <c r="C50" s="4">
        <f t="shared" si="2"/>
        <v>7.855741255437465</v>
      </c>
      <c r="D50" s="4">
        <f t="shared" si="0"/>
        <v>182.53858267812936</v>
      </c>
      <c r="E50" s="4">
        <f t="shared" si="3"/>
        <v>179.88594071395787</v>
      </c>
    </row>
    <row r="51" spans="1:5" x14ac:dyDescent="0.4">
      <c r="A51">
        <v>38.5</v>
      </c>
      <c r="B51" s="4">
        <f t="shared" si="1"/>
        <v>3.1918350574254095</v>
      </c>
      <c r="C51" s="4">
        <f t="shared" si="2"/>
        <v>7.8184324714581699</v>
      </c>
      <c r="D51" s="4">
        <f t="shared" si="0"/>
        <v>182.61874951716501</v>
      </c>
      <c r="E51" s="4">
        <f t="shared" si="3"/>
        <v>179.97870558070318</v>
      </c>
    </row>
    <row r="52" spans="1:5" x14ac:dyDescent="0.4">
      <c r="A52">
        <v>38.75</v>
      </c>
      <c r="B52" s="4">
        <f t="shared" si="1"/>
        <v>3.1882315255609885</v>
      </c>
      <c r="C52" s="4">
        <f t="shared" si="2"/>
        <v>7.7815497172326209</v>
      </c>
      <c r="D52" s="4">
        <f t="shared" si="0"/>
        <v>182.69751526402672</v>
      </c>
      <c r="E52" s="4">
        <f t="shared" si="3"/>
        <v>180.06992549814299</v>
      </c>
    </row>
    <row r="53" spans="1:5" x14ac:dyDescent="0.4">
      <c r="A53">
        <v>39</v>
      </c>
      <c r="B53" s="4">
        <f t="shared" si="1"/>
        <v>3.1846515189860534</v>
      </c>
      <c r="C53" s="4">
        <f t="shared" si="2"/>
        <v>7.7450854154557671</v>
      </c>
      <c r="D53" s="4">
        <f t="shared" si="0"/>
        <v>182.77490722061597</v>
      </c>
      <c r="E53" s="4">
        <f t="shared" si="3"/>
        <v>180.15963032680153</v>
      </c>
    </row>
    <row r="54" spans="1:5" x14ac:dyDescent="0.4">
      <c r="A54">
        <v>39.25</v>
      </c>
      <c r="B54" s="4">
        <f t="shared" si="1"/>
        <v>3.1810947306952846</v>
      </c>
      <c r="C54" s="4">
        <f t="shared" si="2"/>
        <v>7.709032171171744</v>
      </c>
      <c r="D54" s="4">
        <f t="shared" si="0"/>
        <v>182.8509520048853</v>
      </c>
      <c r="E54" s="4">
        <f t="shared" si="3"/>
        <v>180.24784918168018</v>
      </c>
    </row>
    <row r="55" spans="1:5" x14ac:dyDescent="0.4">
      <c r="A55">
        <v>39.5</v>
      </c>
      <c r="B55" s="4">
        <f t="shared" si="1"/>
        <v>3.1775608596257192</v>
      </c>
      <c r="C55" s="4">
        <f t="shared" si="2"/>
        <v>7.6733827662562861</v>
      </c>
      <c r="D55" s="4">
        <f t="shared" si="0"/>
        <v>182.9256755720078</v>
      </c>
      <c r="E55" s="4">
        <f t="shared" si="3"/>
        <v>180.3346104552904</v>
      </c>
    </row>
    <row r="56" spans="1:5" x14ac:dyDescent="0.4">
      <c r="A56">
        <v>39.75</v>
      </c>
      <c r="B56" s="4">
        <f t="shared" si="1"/>
        <v>3.1740496105048277</v>
      </c>
      <c r="C56" s="4">
        <f t="shared" si="2"/>
        <v>7.6381301540996827</v>
      </c>
      <c r="D56" s="4">
        <f t="shared" si="0"/>
        <v>182.99910323476638</v>
      </c>
      <c r="E56" s="4">
        <f t="shared" si="3"/>
        <v>180.41994183983823</v>
      </c>
    </row>
    <row r="57" spans="1:5" x14ac:dyDescent="0.4">
      <c r="A57">
        <v>40</v>
      </c>
      <c r="B57" s="4">
        <f t="shared" si="1"/>
        <v>3.1705606937034028</v>
      </c>
      <c r="C57" s="4">
        <f t="shared" si="2"/>
        <v>7.6032674544818919</v>
      </c>
      <c r="D57" s="4">
        <f t="shared" si="0"/>
        <v>183.0712596831946</v>
      </c>
      <c r="E57" s="4">
        <f t="shared" si="3"/>
        <v>180.5038703485958</v>
      </c>
    </row>
    <row r="58" spans="1:5" x14ac:dyDescent="0.4">
      <c r="A58">
        <v>40.25</v>
      </c>
      <c r="B58" s="4">
        <f t="shared" si="1"/>
        <v>3.1670938250930925</v>
      </c>
      <c r="C58" s="4">
        <f t="shared" si="2"/>
        <v>7.5687879486319005</v>
      </c>
      <c r="D58" s="4">
        <f t="shared" si="0"/>
        <v>183.14216900350155</v>
      </c>
      <c r="E58" s="4">
        <f t="shared" si="3"/>
        <v>180.58642233649417</v>
      </c>
    </row>
    <row r="59" spans="1:5" x14ac:dyDescent="0.4">
      <c r="A59">
        <v>40.5</v>
      </c>
      <c r="B59" s="4">
        <f t="shared" si="1"/>
        <v>3.1636487259083772</v>
      </c>
      <c r="C59" s="4">
        <f t="shared" si="2"/>
        <v>7.5346850744632343</v>
      </c>
      <c r="D59" s="4">
        <f t="shared" si="0"/>
        <v>183.21185469631149</v>
      </c>
      <c r="E59" s="4">
        <f t="shared" si="3"/>
        <v>180.66762351997232</v>
      </c>
    </row>
    <row r="60" spans="1:5" x14ac:dyDescent="0.4">
      <c r="A60">
        <v>40.75</v>
      </c>
      <c r="B60" s="4">
        <f t="shared" si="1"/>
        <v>3.1602251226128533</v>
      </c>
      <c r="C60" s="4">
        <f t="shared" si="2"/>
        <v>7.5009524219786661</v>
      </c>
      <c r="D60" s="4">
        <f t="shared" si="0"/>
        <v>183.28033969424601</v>
      </c>
      <c r="E60" s="4">
        <f t="shared" si="3"/>
        <v>180.74749899611047</v>
      </c>
    </row>
    <row r="61" spans="1:5" x14ac:dyDescent="0.4">
      <c r="A61">
        <v>41</v>
      </c>
      <c r="B61" s="4">
        <f t="shared" si="1"/>
        <v>3.156822746769643</v>
      </c>
      <c r="C61" s="4">
        <f t="shared" si="2"/>
        <v>7.4675837288369022</v>
      </c>
      <c r="D61" s="4">
        <f t="shared" si="0"/>
        <v>183.34764637887733</v>
      </c>
      <c r="E61" s="4">
        <f t="shared" si="3"/>
        <v>180.82607326108072</v>
      </c>
    </row>
    <row r="62" spans="1:5" x14ac:dyDescent="0.4">
      <c r="A62">
        <v>41.25</v>
      </c>
      <c r="B62" s="4">
        <f t="shared" si="1"/>
        <v>3.1534413349157853</v>
      </c>
      <c r="C62" s="4">
        <f t="shared" si="2"/>
        <v>7.4345728760745686</v>
      </c>
      <c r="D62" s="4">
        <f t="shared" si="0"/>
        <v>183.41379659707803</v>
      </c>
      <c r="E62" s="4">
        <f t="shared" si="3"/>
        <v>180.90337022794117</v>
      </c>
    </row>
    <row r="63" spans="1:5" x14ac:dyDescent="0.4">
      <c r="A63">
        <v>41.5</v>
      </c>
      <c r="B63" s="4">
        <f t="shared" si="1"/>
        <v>3.1500806284404681</v>
      </c>
      <c r="C63" s="4">
        <f t="shared" si="2"/>
        <v>7.4019138839773548</v>
      </c>
      <c r="D63" s="4">
        <f t="shared" si="0"/>
        <v>183.47881167679267</v>
      </c>
      <c r="E63" s="4">
        <f t="shared" si="3"/>
        <v>180.97941324380182</v>
      </c>
    </row>
    <row r="64" spans="1:5" x14ac:dyDescent="0.4">
      <c r="A64">
        <v>41.75</v>
      </c>
      <c r="B64" s="4">
        <f t="shared" si="1"/>
        <v>3.1467403734669519</v>
      </c>
      <c r="C64" s="4">
        <f t="shared" si="2"/>
        <v>7.3696009080940224</v>
      </c>
      <c r="D64" s="4">
        <f t="shared" si="0"/>
        <v>183.54271244225455</v>
      </c>
      <c r="E64" s="4">
        <f t="shared" si="3"/>
        <v>181.05422510638721</v>
      </c>
    </row>
    <row r="65" spans="1:5" x14ac:dyDescent="0.4">
      <c r="A65">
        <v>42</v>
      </c>
      <c r="B65" s="4">
        <f t="shared" si="1"/>
        <v>3.1434203207380591</v>
      </c>
      <c r="C65" s="4">
        <f t="shared" si="2"/>
        <v>7.337628235387637</v>
      </c>
      <c r="D65" s="4">
        <f t="shared" si="0"/>
        <v>183.60551922867094</v>
      </c>
      <c r="E65" s="4">
        <f t="shared" si="3"/>
        <v>181.12782808002135</v>
      </c>
    </row>
    <row r="66" spans="1:5" x14ac:dyDescent="0.4">
      <c r="A66">
        <v>42.25</v>
      </c>
      <c r="B66" s="4">
        <f t="shared" si="1"/>
        <v>3.1401202255050982</v>
      </c>
      <c r="C66" s="4">
        <f t="shared" si="2"/>
        <v>7.3059902805185173</v>
      </c>
      <c r="D66" s="4">
        <f t="shared" si="0"/>
        <v>183.6672518963976</v>
      </c>
      <c r="E66" s="4">
        <f t="shared" si="3"/>
        <v>181.20024391105716</v>
      </c>
    </row>
    <row r="67" spans="1:5" x14ac:dyDescent="0.4">
      <c r="A67">
        <v>42.5</v>
      </c>
      <c r="B67" s="4">
        <f t="shared" si="1"/>
        <v>3.1368398474200943</v>
      </c>
      <c r="C67" s="4">
        <f t="shared" si="2"/>
        <v>7.2746815822535469</v>
      </c>
      <c r="D67" s="4">
        <f t="shared" si="0"/>
        <v>183.72792984462379</v>
      </c>
      <c r="E67" s="4">
        <f t="shared" si="3"/>
        <v>181.27149384277422</v>
      </c>
    </row>
    <row r="68" spans="1:5" x14ac:dyDescent="0.4">
      <c r="A68">
        <v>42.75</v>
      </c>
      <c r="B68" s="4">
        <f t="shared" si="1"/>
        <v>3.1335789504312226</v>
      </c>
      <c r="C68" s="4">
        <f t="shared" si="2"/>
        <v>7.2436967999969823</v>
      </c>
      <c r="D68" s="4">
        <f t="shared" si="0"/>
        <v>183.78757202458686</v>
      </c>
      <c r="E68" s="4">
        <f t="shared" si="3"/>
        <v>181.34159862976472</v>
      </c>
    </row>
    <row r="69" spans="1:5" x14ac:dyDescent="0.4">
      <c r="A69">
        <v>43</v>
      </c>
      <c r="B69" s="4">
        <f t="shared" si="1"/>
        <v>3.1303373026813204</v>
      </c>
      <c r="C69" s="4">
        <f t="shared" si="2"/>
        <v>7.2130307104378097</v>
      </c>
      <c r="D69" s="4">
        <f t="shared" si="0"/>
        <v>183.84619695233582</v>
      </c>
      <c r="E69" s="4">
        <f t="shared" si="3"/>
        <v>181.41057855182888</v>
      </c>
    </row>
    <row r="70" spans="1:5" x14ac:dyDescent="0.4">
      <c r="A70">
        <v>43.25</v>
      </c>
      <c r="B70" s="4">
        <f t="shared" si="1"/>
        <v>3.1271146764093682</v>
      </c>
      <c r="C70" s="4">
        <f t="shared" si="2"/>
        <v>7.1826782043092638</v>
      </c>
      <c r="D70" s="4">
        <f t="shared" si="0"/>
        <v>183.90382272106132</v>
      </c>
      <c r="E70" s="4">
        <f t="shared" si="3"/>
        <v>181.47845342739944</v>
      </c>
    </row>
    <row r="71" spans="1:5" x14ac:dyDescent="0.4">
      <c r="A71">
        <v>43.5</v>
      </c>
      <c r="B71" s="4">
        <f t="shared" si="1"/>
        <v>3.1239108478548445</v>
      </c>
      <c r="C71" s="4">
        <f t="shared" si="2"/>
        <v>7.152634283255888</v>
      </c>
      <c r="D71" s="4">
        <f t="shared" si="0"/>
        <v>183.96046701300892</v>
      </c>
      <c r="E71" s="4">
        <f t="shared" si="3"/>
        <v>181.54524262651282</v>
      </c>
    </row>
    <row r="72" spans="1:5" x14ac:dyDescent="0.4">
      <c r="A72">
        <v>43.75</v>
      </c>
      <c r="B72" s="4">
        <f t="shared" si="1"/>
        <v>3.120725597164852</v>
      </c>
      <c r="C72" s="4">
        <f t="shared" si="2"/>
        <v>7.122894056804201</v>
      </c>
      <c r="D72" s="4">
        <f t="shared" si="0"/>
        <v>184.01614711099299</v>
      </c>
      <c r="E72" s="4">
        <f t="shared" si="3"/>
        <v>181.61096508334555</v>
      </c>
    </row>
    <row r="73" spans="1:5" x14ac:dyDescent="0.4">
      <c r="A73">
        <v>44</v>
      </c>
      <c r="B73" s="4">
        <f t="shared" si="1"/>
        <v>3.1175587083039158</v>
      </c>
      <c r="C73" s="4">
        <f t="shared" si="2"/>
        <v>7.0934527394329052</v>
      </c>
      <c r="D73" s="4">
        <f t="shared" si="0"/>
        <v>184.07087990952519</v>
      </c>
      <c r="E73" s="4">
        <f t="shared" si="3"/>
        <v>181.67563930833265</v>
      </c>
    </row>
    <row r="74" spans="1:5" x14ac:dyDescent="0.4">
      <c r="A74">
        <v>44.25</v>
      </c>
      <c r="B74" s="4">
        <f t="shared" si="1"/>
        <v>3.1144099689663598</v>
      </c>
      <c r="C74" s="4">
        <f t="shared" si="2"/>
        <v>7.0643056477386796</v>
      </c>
      <c r="D74" s="4">
        <f t="shared" si="0"/>
        <v>184.12468192557452</v>
      </c>
      <c r="E74" s="4">
        <f t="shared" si="3"/>
        <v>181.73928339988419</v>
      </c>
    </row>
    <row r="75" spans="1:5" x14ac:dyDescent="0.4">
      <c r="A75">
        <v>44.5</v>
      </c>
      <c r="B75" s="4">
        <f t="shared" si="1"/>
        <v>3.1112791704911902</v>
      </c>
      <c r="C75" s="4">
        <f t="shared" si="2"/>
        <v>7.0354481976941807</v>
      </c>
      <c r="D75" s="4">
        <f t="shared" si="0"/>
        <v>184.17756930897107</v>
      </c>
      <c r="E75" s="4">
        <f t="shared" si="3"/>
        <v>181.80191505571514</v>
      </c>
    </row>
    <row r="76" spans="1:5" x14ac:dyDescent="0.4">
      <c r="A76">
        <v>44.75</v>
      </c>
      <c r="B76" s="4">
        <f t="shared" si="1"/>
        <v>3.1081661077793763</v>
      </c>
      <c r="C76" s="4">
        <f t="shared" si="2"/>
        <v>7.0068759019945093</v>
      </c>
      <c r="D76" s="4">
        <f t="shared" si="0"/>
        <v>184.22955785246864</v>
      </c>
      <c r="E76" s="4">
        <f t="shared" si="3"/>
        <v>181.86355158380397</v>
      </c>
    </row>
    <row r="77" spans="1:5" x14ac:dyDescent="0.4">
      <c r="A77">
        <v>45</v>
      </c>
      <c r="B77" s="4">
        <f t="shared" si="1"/>
        <v>3.1050705792134665</v>
      </c>
      <c r="C77" s="4">
        <f t="shared" si="2"/>
        <v>6.9785843674889536</v>
      </c>
      <c r="D77" s="4">
        <f t="shared" si="0"/>
        <v>184.28066300147825</v>
      </c>
      <c r="E77" s="4">
        <f t="shared" si="3"/>
        <v>181.92420991299355</v>
      </c>
    </row>
    <row r="78" spans="1:5" x14ac:dyDescent="0.4">
      <c r="A78">
        <v>45.25</v>
      </c>
      <c r="B78" s="4">
        <f t="shared" si="1"/>
        <v>3.1019923865794516</v>
      </c>
      <c r="C78" s="4">
        <f t="shared" si="2"/>
        <v>6.9505692926947233</v>
      </c>
      <c r="D78" s="4">
        <f t="shared" si="0"/>
        <v>184.33089986348625</v>
      </c>
      <c r="E78" s="4">
        <f t="shared" si="3"/>
        <v>181.98390660324844</v>
      </c>
    </row>
    <row r="79" spans="1:5" x14ac:dyDescent="0.4">
      <c r="A79">
        <v>45.5</v>
      </c>
      <c r="B79" s="4">
        <f t="shared" si="1"/>
        <v>3.0989313349908096</v>
      </c>
      <c r="C79" s="4">
        <f t="shared" si="2"/>
        <v>6.92282646538977</v>
      </c>
      <c r="D79" s="4">
        <f t="shared" ref="D79:D142" si="8">$B$6*$B$12/9.81*($B$9*SQRT(2/($B$9-1)*(2/($B$9+1))^(($B$9+1)/($B$9-1))*(1 - (A79/$B$3)^(($B$9-1)/$B$9))) + C79/$B$3*(A79 - $E$5))</f>
        <v>184.3802832171672</v>
      </c>
      <c r="E79" s="4">
        <f t="shared" si="3"/>
        <v>182.04265785558096</v>
      </c>
    </row>
    <row r="80" spans="1:5" x14ac:dyDescent="0.4">
      <c r="A80">
        <v>45.75</v>
      </c>
      <c r="B80" s="4">
        <f t="shared" ref="B80:B143" si="9">SQRT(2/($B$9-1)*((A80/$B$3)^((1-$B$9)/$B$9) - 1))</f>
        <v>3.0958872328146447</v>
      </c>
      <c r="C80" s="4">
        <f t="shared" ref="C80:C143" si="10">1/B80*(2/($B$9+1)*(1 + ($B$9-1)/2*B80^2))^(($B$9+1)/(2*$B$9-2))</f>
        <v>6.8953517602815397</v>
      </c>
      <c r="D80" s="4">
        <f t="shared" si="8"/>
        <v>184.42882752120425</v>
      </c>
      <c r="E80" s="4">
        <f t="shared" ref="E80:E143" si="11">$B$6*$B$12/9.81*($B$9*SQRT(2/($B$9-1)*(2/($B$9+1))^(($B$9+1)/($B$9-1))*(1 - (A80/$B$3)^(($B$9-1)/$B$9))) + C80/$B$3*(A80 - $E$4))</f>
        <v>182.10047952165854</v>
      </c>
    </row>
    <row r="81" spans="1:5" x14ac:dyDescent="0.4">
      <c r="A81">
        <v>46</v>
      </c>
      <c r="B81" s="4">
        <f t="shared" si="9"/>
        <v>3.092859891599868</v>
      </c>
      <c r="C81" s="4">
        <f t="shared" si="10"/>
        <v>6.8681411367490091</v>
      </c>
      <c r="D81" s="4">
        <f t="shared" si="8"/>
        <v>184.47654692282811</v>
      </c>
      <c r="E81" s="4">
        <f t="shared" si="11"/>
        <v>182.15738711310516</v>
      </c>
    </row>
    <row r="82" spans="1:5" x14ac:dyDescent="0.4">
      <c r="A82">
        <v>46.25</v>
      </c>
      <c r="B82" s="4">
        <f t="shared" si="9"/>
        <v>3.0898491260073406</v>
      </c>
      <c r="C82" s="4">
        <f t="shared" si="10"/>
        <v>6.8411906366553605</v>
      </c>
      <c r="D82" s="4">
        <f t="shared" si="8"/>
        <v>184.52345526608337</v>
      </c>
      <c r="E82" s="4">
        <f t="shared" si="11"/>
        <v>182.21339581050648</v>
      </c>
    </row>
    <row r="83" spans="1:5" x14ac:dyDescent="0.4">
      <c r="A83">
        <v>46.5</v>
      </c>
      <c r="B83" s="4">
        <f t="shared" si="9"/>
        <v>3.0868547537419229</v>
      </c>
      <c r="C83" s="4">
        <f t="shared" si="10"/>
        <v>6.814496382228536</v>
      </c>
      <c r="D83" s="4">
        <f t="shared" si="8"/>
        <v>184.56956609983479</v>
      </c>
      <c r="E83" s="4">
        <f t="shared" si="11"/>
        <v>182.26852047213131</v>
      </c>
    </row>
    <row r="84" spans="1:5" x14ac:dyDescent="0.4">
      <c r="A84">
        <v>46.75</v>
      </c>
      <c r="B84" s="4">
        <f t="shared" si="9"/>
        <v>3.0838765954863607</v>
      </c>
      <c r="C84" s="4">
        <f t="shared" si="10"/>
        <v>6.7880545740073694</v>
      </c>
      <c r="D84" s="4">
        <f t="shared" si="8"/>
        <v>184.61489268552029</v>
      </c>
      <c r="E84" s="4">
        <f t="shared" si="11"/>
        <v>182.32277564237876</v>
      </c>
    </row>
    <row r="85" spans="1:5" x14ac:dyDescent="0.4">
      <c r="A85">
        <v>47</v>
      </c>
      <c r="B85" s="4">
        <f t="shared" si="9"/>
        <v>3.0809144748369603</v>
      </c>
      <c r="C85" s="4">
        <f t="shared" si="10"/>
        <v>6.7618614888508874</v>
      </c>
      <c r="D85" s="4">
        <f t="shared" si="8"/>
        <v>184.65944800466255</v>
      </c>
      <c r="E85" s="4">
        <f t="shared" si="11"/>
        <v>182.37617555996158</v>
      </c>
    </row>
    <row r="86" spans="1:5" x14ac:dyDescent="0.4">
      <c r="A86">
        <v>47.25</v>
      </c>
      <c r="B86" s="4">
        <f t="shared" si="9"/>
        <v>3.0779682182409793</v>
      </c>
      <c r="C86" s="4">
        <f t="shared" si="10"/>
        <v>6.7359134780085173</v>
      </c>
      <c r="D86" s="4">
        <f t="shared" si="8"/>
        <v>184.70324476614579</v>
      </c>
      <c r="E86" s="4">
        <f t="shared" si="11"/>
        <v>182.4287341658347</v>
      </c>
    </row>
    <row r="87" spans="1:5" x14ac:dyDescent="0.4">
      <c r="A87">
        <v>47.5</v>
      </c>
      <c r="B87" s="4">
        <f t="shared" si="9"/>
        <v>3.0750376549356915</v>
      </c>
      <c r="C87" s="4">
        <f t="shared" si="10"/>
        <v>6.7102069652488998</v>
      </c>
      <c r="D87" s="4">
        <f t="shared" si="8"/>
        <v>184.74629541326786</v>
      </c>
      <c r="E87" s="4">
        <f t="shared" si="11"/>
        <v>182.48046511087918</v>
      </c>
    </row>
    <row r="88" spans="1:5" x14ac:dyDescent="0.4">
      <c r="A88">
        <v>47.75</v>
      </c>
      <c r="B88" s="4">
        <f t="shared" si="9"/>
        <v>3.0721226168890694</v>
      </c>
      <c r="C88" s="4">
        <f t="shared" si="10"/>
        <v>6.684738445045519</v>
      </c>
      <c r="D88" s="4">
        <f t="shared" si="8"/>
        <v>184.78861213057436</v>
      </c>
      <c r="E88" s="4">
        <f t="shared" si="11"/>
        <v>182.53138176334903</v>
      </c>
    </row>
    <row r="89" spans="1:5" x14ac:dyDescent="0.4">
      <c r="A89">
        <v>48</v>
      </c>
      <c r="B89" s="4">
        <f t="shared" si="9"/>
        <v>3.0692229387420293</v>
      </c>
      <c r="C89" s="4">
        <f t="shared" si="10"/>
        <v>6.6595044808168042</v>
      </c>
      <c r="D89" s="4">
        <f t="shared" si="8"/>
        <v>184.83020685048407</v>
      </c>
      <c r="E89" s="4">
        <f t="shared" si="11"/>
        <v>182.58149721609084</v>
      </c>
    </row>
    <row r="90" spans="1:5" x14ac:dyDescent="0.4">
      <c r="A90">
        <v>48.25</v>
      </c>
      <c r="B90" s="4">
        <f t="shared" si="9"/>
        <v>3.0663384577521908</v>
      </c>
      <c r="C90" s="4">
        <f t="shared" si="10"/>
        <v>6.6345017032189988</v>
      </c>
      <c r="D90" s="4">
        <f t="shared" si="8"/>
        <v>184.87109125971156</v>
      </c>
      <c r="E90" s="4">
        <f t="shared" si="11"/>
        <v>182.63082429354276</v>
      </c>
    </row>
    <row r="91" spans="1:5" x14ac:dyDescent="0.4">
      <c r="A91">
        <v>48.5</v>
      </c>
      <c r="B91" s="4">
        <f t="shared" si="9"/>
        <v>3.0634690137391121</v>
      </c>
      <c r="C91" s="4">
        <f t="shared" si="10"/>
        <v>6.6097268084899845</v>
      </c>
      <c r="D91" s="4">
        <f t="shared" si="8"/>
        <v>184.91127680549528</v>
      </c>
      <c r="E91" s="4">
        <f t="shared" si="11"/>
        <v>182.67937555852208</v>
      </c>
    </row>
    <row r="92" spans="1:5" x14ac:dyDescent="0.4">
      <c r="A92">
        <v>48.75</v>
      </c>
      <c r="B92" s="4">
        <f t="shared" si="9"/>
        <v>3.0606144490309379</v>
      </c>
      <c r="C92" s="4">
        <f t="shared" si="10"/>
        <v>6.5851765568420388</v>
      </c>
      <c r="D92" s="4">
        <f t="shared" si="8"/>
        <v>184.95077470163747</v>
      </c>
      <c r="E92" s="4">
        <f t="shared" si="11"/>
        <v>182.72716331880753</v>
      </c>
    </row>
    <row r="93" spans="1:5" x14ac:dyDescent="0.4">
      <c r="A93">
        <v>49</v>
      </c>
      <c r="B93" s="4">
        <f t="shared" si="9"/>
        <v>3.0577746084124313</v>
      </c>
      <c r="C93" s="4">
        <f t="shared" si="10"/>
        <v>6.5608477709021287</v>
      </c>
      <c r="D93" s="4">
        <f t="shared" si="8"/>
        <v>184.98959593436285</v>
      </c>
      <c r="E93" s="4">
        <f t="shared" si="11"/>
        <v>182.77419963352494</v>
      </c>
    </row>
    <row r="94" spans="1:5" x14ac:dyDescent="0.4">
      <c r="A94">
        <v>49.25</v>
      </c>
      <c r="B94" s="4">
        <f t="shared" si="9"/>
        <v>3.0549493390743483</v>
      </c>
      <c r="C94" s="4">
        <f t="shared" si="10"/>
        <v>6.5367373341979382</v>
      </c>
      <c r="D94" s="4">
        <f t="shared" si="8"/>
        <v>185.02775126800165</v>
      </c>
      <c r="E94" s="4">
        <f t="shared" si="11"/>
        <v>182.82049631934123</v>
      </c>
    </row>
    <row r="95" spans="1:5" x14ac:dyDescent="0.4">
      <c r="A95">
        <v>49.5</v>
      </c>
      <c r="B95" s="4">
        <f t="shared" si="9"/>
        <v>3.0521384905640931</v>
      </c>
      <c r="C95" s="4">
        <f t="shared" si="10"/>
        <v>6.512842189688036</v>
      </c>
      <c r="D95" s="4">
        <f t="shared" si="8"/>
        <v>185.06525125050445</v>
      </c>
      <c r="E95" s="4">
        <f t="shared" si="11"/>
        <v>182.86606495647584</v>
      </c>
    </row>
    <row r="96" spans="1:5" x14ac:dyDescent="0.4">
      <c r="A96">
        <v>49.75</v>
      </c>
      <c r="B96" s="4">
        <f t="shared" si="9"/>
        <v>3.0493419147376444</v>
      </c>
      <c r="C96" s="4">
        <f t="shared" si="10"/>
        <v>6.4891593383348853</v>
      </c>
      <c r="D96" s="4">
        <f t="shared" si="8"/>
        <v>185.10210621879278</v>
      </c>
      <c r="E96" s="4">
        <f t="shared" si="11"/>
        <v>182.91091689453293</v>
      </c>
    </row>
    <row r="97" spans="1:5" x14ac:dyDescent="0.4">
      <c r="A97">
        <v>50</v>
      </c>
      <c r="B97" s="4">
        <f t="shared" si="9"/>
        <v>3.046559465712682</v>
      </c>
      <c r="C97" s="4">
        <f t="shared" si="10"/>
        <v>6.4656858377188637</v>
      </c>
      <c r="D97" s="4">
        <f t="shared" si="8"/>
        <v>185.13832630395314</v>
      </c>
      <c r="E97" s="4">
        <f t="shared" si="11"/>
        <v>182.95506325816339</v>
      </c>
    </row>
    <row r="98" spans="1:5" x14ac:dyDescent="0.4">
      <c r="A98">
        <v>50.25</v>
      </c>
      <c r="B98" s="4">
        <f t="shared" si="9"/>
        <v>3.0437909998229205</v>
      </c>
      <c r="C98" s="4">
        <f t="shared" si="10"/>
        <v>6.4424188006924359</v>
      </c>
      <c r="D98" s="4">
        <f t="shared" si="8"/>
        <v>185.17392143627788</v>
      </c>
      <c r="E98" s="4">
        <f t="shared" si="11"/>
        <v>182.99851495256056</v>
      </c>
    </row>
    <row r="99" spans="1:5" x14ac:dyDescent="0.4">
      <c r="A99">
        <v>50.5</v>
      </c>
      <c r="B99" s="4">
        <f t="shared" si="9"/>
        <v>3.0410363755735546</v>
      </c>
      <c r="C99" s="4">
        <f t="shared" si="10"/>
        <v>6.4193553940725474</v>
      </c>
      <c r="D99" s="4">
        <f t="shared" si="8"/>
        <v>185.20890135015975</v>
      </c>
      <c r="E99" s="4">
        <f t="shared" si="11"/>
        <v>183.04128266879584</v>
      </c>
    </row>
    <row r="100" spans="1:5" x14ac:dyDescent="0.4">
      <c r="A100">
        <v>50.75</v>
      </c>
      <c r="B100" s="4">
        <f t="shared" si="9"/>
        <v>3.0382954535978475</v>
      </c>
      <c r="C100" s="4">
        <f t="shared" si="10"/>
        <v>6.396492837370495</v>
      </c>
      <c r="D100" s="4">
        <f t="shared" si="8"/>
        <v>185.243275588844</v>
      </c>
      <c r="E100" s="4">
        <f t="shared" si="11"/>
        <v>183.08337688899985</v>
      </c>
    </row>
    <row r="101" spans="1:5" x14ac:dyDescent="0.4">
      <c r="A101">
        <v>51</v>
      </c>
      <c r="B101" s="4">
        <f t="shared" si="9"/>
        <v>3.0355680966147758</v>
      </c>
      <c r="C101" s="4">
        <f t="shared" si="10"/>
        <v>6.3738284015576285</v>
      </c>
      <c r="D101" s="4">
        <f t="shared" si="8"/>
        <v>185.27705350904338</v>
      </c>
      <c r="E101" s="4">
        <f t="shared" si="11"/>
        <v>183.1248078913944</v>
      </c>
    </row>
    <row r="102" spans="1:5" x14ac:dyDescent="0.4">
      <c r="A102">
        <v>51.25</v>
      </c>
      <c r="B102" s="4">
        <f t="shared" si="9"/>
        <v>3.03285416938773</v>
      </c>
      <c r="C102" s="4">
        <f t="shared" si="10"/>
        <v>6.3513594078659086</v>
      </c>
      <c r="D102" s="4">
        <f t="shared" si="8"/>
        <v>185.31024428542042</v>
      </c>
      <c r="E102" s="4">
        <f t="shared" si="11"/>
        <v>183.16558575517936</v>
      </c>
    </row>
    <row r="103" spans="1:5" x14ac:dyDescent="0.4">
      <c r="A103">
        <v>51.5</v>
      </c>
      <c r="B103" s="4">
        <f t="shared" si="9"/>
        <v>3.0301535386842313</v>
      </c>
      <c r="C103" s="4">
        <f t="shared" si="10"/>
        <v>6.3290832266221502</v>
      </c>
      <c r="D103" s="4">
        <f t="shared" si="8"/>
        <v>185.34285691494125</v>
      </c>
      <c r="E103" s="4">
        <f t="shared" si="11"/>
        <v>183.20572036528068</v>
      </c>
    </row>
    <row r="104" spans="1:5" x14ac:dyDescent="0.4">
      <c r="A104">
        <v>51.75</v>
      </c>
      <c r="B104" s="4">
        <f t="shared" si="9"/>
        <v>3.0274660732366256</v>
      </c>
      <c r="C104" s="4">
        <f t="shared" si="10"/>
        <v>6.306997276114747</v>
      </c>
      <c r="D104" s="4">
        <f t="shared" si="8"/>
        <v>185.374900221106</v>
      </c>
      <c r="E104" s="4">
        <f t="shared" si="11"/>
        <v>183.24522141696295</v>
      </c>
    </row>
    <row r="105" spans="1:5" x14ac:dyDescent="0.4">
      <c r="A105">
        <v>52</v>
      </c>
      <c r="B105" s="4">
        <f t="shared" si="9"/>
        <v>3.0247916437037445</v>
      </c>
      <c r="C105" s="4">
        <f t="shared" si="10"/>
        <v>6.285099021491968</v>
      </c>
      <c r="D105" s="4">
        <f t="shared" si="8"/>
        <v>185.40638285805861</v>
      </c>
      <c r="E105" s="4">
        <f t="shared" si="11"/>
        <v>183.28409842031152</v>
      </c>
    </row>
    <row r="106" spans="1:5" x14ac:dyDescent="0.4">
      <c r="A106">
        <v>52.25</v>
      </c>
      <c r="B106" s="4">
        <f t="shared" si="9"/>
        <v>3.0221301226334907</v>
      </c>
      <c r="C106" s="4">
        <f t="shared" si="10"/>
        <v>6.2633859736906823</v>
      </c>
      <c r="D106" s="4">
        <f t="shared" si="8"/>
        <v>185.4373133145813</v>
      </c>
      <c r="E106" s="4">
        <f t="shared" si="11"/>
        <v>183.32236070458856</v>
      </c>
    </row>
    <row r="107" spans="1:5" x14ac:dyDescent="0.4">
      <c r="A107">
        <v>52.5</v>
      </c>
      <c r="B107" s="4">
        <f t="shared" si="9"/>
        <v>3.019481384426324</v>
      </c>
      <c r="C107" s="4">
        <f t="shared" si="10"/>
        <v>6.2418556883945522</v>
      </c>
      <c r="D107" s="4">
        <f t="shared" si="8"/>
        <v>185.46769991797646</v>
      </c>
      <c r="E107" s="4">
        <f t="shared" si="11"/>
        <v>183.36001742246685</v>
      </c>
    </row>
    <row r="108" spans="1:5" x14ac:dyDescent="0.4">
      <c r="A108">
        <v>52.75</v>
      </c>
      <c r="B108" s="4">
        <f t="shared" si="9"/>
        <v>3.0168453052996256</v>
      </c>
      <c r="C108" s="4">
        <f t="shared" si="10"/>
        <v>6.2205057650207767</v>
      </c>
      <c r="D108" s="4">
        <f t="shared" si="8"/>
        <v>185.49755083784032</v>
      </c>
      <c r="E108" s="4">
        <f t="shared" si="11"/>
        <v>183.3970775541456</v>
      </c>
    </row>
    <row r="109" spans="1:5" x14ac:dyDescent="0.4">
      <c r="A109">
        <v>53</v>
      </c>
      <c r="B109" s="4">
        <f t="shared" si="9"/>
        <v>3.0142217632529151</v>
      </c>
      <c r="C109" s="4">
        <f t="shared" si="10"/>
        <v>6.1993338457345217</v>
      </c>
      <c r="D109" s="4">
        <f t="shared" si="8"/>
        <v>185.52687408973165</v>
      </c>
      <c r="E109" s="4">
        <f t="shared" si="11"/>
        <v>183.43354991135169</v>
      </c>
    </row>
    <row r="110" spans="1:5" x14ac:dyDescent="0.4">
      <c r="A110">
        <v>53.25</v>
      </c>
      <c r="B110" s="4">
        <f t="shared" si="9"/>
        <v>3.0116106380338907</v>
      </c>
      <c r="C110" s="4">
        <f t="shared" si="10"/>
        <v>6.1783376144900037</v>
      </c>
      <c r="D110" s="4">
        <f t="shared" si="8"/>
        <v>185.55567753873837</v>
      </c>
      <c r="E110" s="4">
        <f t="shared" si="11"/>
        <v>183.46944314123047</v>
      </c>
    </row>
    <row r="111" spans="1:5" x14ac:dyDescent="0.4">
      <c r="A111">
        <v>53.5</v>
      </c>
      <c r="B111" s="4">
        <f t="shared" si="9"/>
        <v>3.0090118111052777</v>
      </c>
      <c r="C111" s="4">
        <f t="shared" si="10"/>
        <v>6.1575147960975025</v>
      </c>
      <c r="D111" s="4">
        <f t="shared" si="8"/>
        <v>185.58396890294685</v>
      </c>
      <c r="E111" s="4">
        <f t="shared" si="11"/>
        <v>183.50476573012983</v>
      </c>
    </row>
    <row r="112" spans="1:5" x14ac:dyDescent="0.4">
      <c r="A112">
        <v>53.75</v>
      </c>
      <c r="B112" s="4">
        <f t="shared" si="9"/>
        <v>3.006425165612451</v>
      </c>
      <c r="C112" s="4">
        <f t="shared" si="10"/>
        <v>6.1368631553155151</v>
      </c>
      <c r="D112" s="4">
        <f t="shared" si="8"/>
        <v>185.61175575681492</v>
      </c>
      <c r="E112" s="4">
        <f t="shared" si="11"/>
        <v>183.53952600727979</v>
      </c>
    </row>
    <row r="113" spans="1:5" x14ac:dyDescent="0.4">
      <c r="A113">
        <v>54</v>
      </c>
      <c r="B113" s="4">
        <f t="shared" si="9"/>
        <v>3.0038505863518234</v>
      </c>
      <c r="C113" s="4">
        <f t="shared" si="10"/>
        <v>6.1163804959670598</v>
      </c>
      <c r="D113" s="4">
        <f t="shared" si="8"/>
        <v>185.63904553445354</v>
      </c>
      <c r="E113" s="4">
        <f t="shared" si="11"/>
        <v>183.57373214837276</v>
      </c>
    </row>
    <row r="114" spans="1:5" x14ac:dyDescent="0.4">
      <c r="A114">
        <v>54.25</v>
      </c>
      <c r="B114" s="4">
        <f t="shared" si="9"/>
        <v>3.0012879597399702</v>
      </c>
      <c r="C114" s="4">
        <f t="shared" si="10"/>
        <v>6.0960646600797332</v>
      </c>
      <c r="D114" s="4">
        <f t="shared" si="8"/>
        <v>185.66584553281888</v>
      </c>
      <c r="E114" s="4">
        <f t="shared" si="11"/>
        <v>183.6073921790456</v>
      </c>
    </row>
    <row r="115" spans="1:5" x14ac:dyDescent="0.4">
      <c r="A115">
        <v>54.5</v>
      </c>
      <c r="B115" s="4">
        <f t="shared" si="9"/>
        <v>2.9987371737834652</v>
      </c>
      <c r="C115" s="4">
        <f t="shared" si="10"/>
        <v>6.0759135270483391</v>
      </c>
      <c r="D115" s="4">
        <f t="shared" si="8"/>
        <v>185.69216291481803</v>
      </c>
      <c r="E115" s="4">
        <f t="shared" si="11"/>
        <v>183.64051397826861</v>
      </c>
    </row>
    <row r="116" spans="1:5" x14ac:dyDescent="0.4">
      <c r="A116">
        <v>54.75</v>
      </c>
      <c r="B116" s="4">
        <f t="shared" si="9"/>
        <v>2.9961981180494215</v>
      </c>
      <c r="C116" s="4">
        <f t="shared" si="10"/>
        <v>6.0559250128197588</v>
      </c>
      <c r="D116" s="4">
        <f t="shared" si="8"/>
        <v>185.71800471233104</v>
      </c>
      <c r="E116" s="4">
        <f t="shared" si="11"/>
        <v>183.67310528164239</v>
      </c>
    </row>
    <row r="117" spans="1:5" x14ac:dyDescent="0.4">
      <c r="A117">
        <v>55</v>
      </c>
      <c r="B117" s="4">
        <f t="shared" si="9"/>
        <v>2.9936706836367066</v>
      </c>
      <c r="C117" s="4">
        <f t="shared" si="10"/>
        <v>6.0360970690991973</v>
      </c>
      <c r="D117" s="4">
        <f t="shared" si="8"/>
        <v>185.74337782915228</v>
      </c>
      <c r="E117" s="4">
        <f t="shared" si="11"/>
        <v>183.70517368460736</v>
      </c>
    </row>
    <row r="118" spans="1:5" x14ac:dyDescent="0.4">
      <c r="A118">
        <v>55.25</v>
      </c>
      <c r="B118" s="4">
        <f t="shared" si="9"/>
        <v>2.991154763147815</v>
      </c>
      <c r="C118" s="4">
        <f t="shared" si="10"/>
        <v>6.0164276825771879</v>
      </c>
      <c r="D118" s="4">
        <f t="shared" si="8"/>
        <v>185.76828904385206</v>
      </c>
      <c r="E118" s="4">
        <f t="shared" si="11"/>
        <v>183.73672664556651</v>
      </c>
    </row>
    <row r="119" spans="1:5" x14ac:dyDescent="0.4">
      <c r="A119">
        <v>55.5</v>
      </c>
      <c r="B119" s="4">
        <f t="shared" si="9"/>
        <v>2.9886502506613883</v>
      </c>
      <c r="C119" s="4">
        <f t="shared" si="10"/>
        <v>5.9969148741767029</v>
      </c>
      <c r="D119" s="4">
        <f t="shared" si="8"/>
        <v>185.79274501256398</v>
      </c>
      <c r="E119" s="4">
        <f t="shared" si="11"/>
        <v>183.76777148892677</v>
      </c>
    </row>
    <row r="120" spans="1:5" x14ac:dyDescent="0.4">
      <c r="A120">
        <v>55.75</v>
      </c>
      <c r="B120" s="4">
        <f t="shared" si="9"/>
        <v>2.9861570417053533</v>
      </c>
      <c r="C120" s="4">
        <f t="shared" si="10"/>
        <v>5.9775566983198223</v>
      </c>
      <c r="D120" s="4">
        <f t="shared" si="8"/>
        <v>185.81675227169669</v>
      </c>
      <c r="E120" s="4">
        <f t="shared" si="11"/>
        <v>183.79831540805858</v>
      </c>
    </row>
    <row r="121" spans="1:5" x14ac:dyDescent="0.4">
      <c r="A121">
        <v>56</v>
      </c>
      <c r="B121" s="4">
        <f t="shared" si="9"/>
        <v>2.9836750332306705</v>
      </c>
      <c r="C121" s="4">
        <f t="shared" si="10"/>
        <v>5.9583512422132792</v>
      </c>
      <c r="D121" s="4">
        <f t="shared" si="8"/>
        <v>185.84031724057513</v>
      </c>
      <c r="E121" s="4">
        <f t="shared" si="11"/>
        <v>183.8283654681783</v>
      </c>
    </row>
    <row r="122" spans="1:5" x14ac:dyDescent="0.4">
      <c r="A122">
        <v>56.25</v>
      </c>
      <c r="B122" s="4">
        <f t="shared" si="9"/>
        <v>2.9812041235856697</v>
      </c>
      <c r="C122" s="4">
        <f t="shared" si="10"/>
        <v>5.9392966251523296</v>
      </c>
      <c r="D122" s="4">
        <f t="shared" si="8"/>
        <v>185.8634462240127</v>
      </c>
      <c r="E122" s="4">
        <f t="shared" si="11"/>
        <v>183.85792860915538</v>
      </c>
    </row>
    <row r="123" spans="1:5" x14ac:dyDescent="0.4">
      <c r="A123">
        <v>56.5</v>
      </c>
      <c r="B123" s="4">
        <f t="shared" si="9"/>
        <v>2.978744212490966</v>
      </c>
      <c r="C123" s="4">
        <f t="shared" si="10"/>
        <v>5.9203909978425626</v>
      </c>
      <c r="D123" s="4">
        <f t="shared" si="8"/>
        <v>185.88614541481513</v>
      </c>
      <c r="E123" s="4">
        <f t="shared" si="11"/>
        <v>183.88701164824536</v>
      </c>
    </row>
    <row r="124" spans="1:5" x14ac:dyDescent="0.4">
      <c r="A124">
        <v>56.75</v>
      </c>
      <c r="B124" s="4">
        <f t="shared" si="9"/>
        <v>2.9762952010149322</v>
      </c>
      <c r="C124" s="4">
        <f t="shared" si="10"/>
        <v>5.901632541738798</v>
      </c>
      <c r="D124" s="4">
        <f t="shared" si="8"/>
        <v>185.90842089622043</v>
      </c>
      <c r="E124" s="4">
        <f t="shared" si="11"/>
        <v>183.91562128275294</v>
      </c>
    </row>
    <row r="125" spans="1:5" x14ac:dyDescent="0.4">
      <c r="A125">
        <v>57</v>
      </c>
      <c r="B125" s="4">
        <f t="shared" si="9"/>
        <v>2.9738569915497113</v>
      </c>
      <c r="C125" s="4">
        <f t="shared" si="10"/>
        <v>5.8830194684008319</v>
      </c>
      <c r="D125" s="4">
        <f t="shared" si="8"/>
        <v>185.93027864427472</v>
      </c>
      <c r="E125" s="4">
        <f t="shared" si="11"/>
        <v>183.94376409262546</v>
      </c>
    </row>
    <row r="126" spans="1:5" x14ac:dyDescent="0.4">
      <c r="A126">
        <v>57.25</v>
      </c>
      <c r="B126" s="4">
        <f t="shared" si="9"/>
        <v>2.9714294877877707</v>
      </c>
      <c r="C126" s="4">
        <f t="shared" si="10"/>
        <v>5.8645500188654971</v>
      </c>
      <c r="D126" s="4">
        <f t="shared" si="8"/>
        <v>185.95172453014717</v>
      </c>
      <c r="E126" s="4">
        <f t="shared" si="11"/>
        <v>183.97144654297981</v>
      </c>
    </row>
    <row r="127" spans="1:5" x14ac:dyDescent="0.4">
      <c r="A127">
        <v>57.5</v>
      </c>
      <c r="B127" s="4">
        <f t="shared" si="9"/>
        <v>2.9690125946989578</v>
      </c>
      <c r="C127" s="4">
        <f t="shared" si="10"/>
        <v>5.8462224630343291</v>
      </c>
      <c r="D127" s="4">
        <f t="shared" si="8"/>
        <v>185.97276432238559</v>
      </c>
      <c r="E127" s="4">
        <f t="shared" si="11"/>
        <v>183.99867498656477</v>
      </c>
    </row>
    <row r="128" spans="1:5" x14ac:dyDescent="0.4">
      <c r="A128">
        <v>57.75</v>
      </c>
      <c r="B128" s="4">
        <f t="shared" si="9"/>
        <v>2.9666062185080739</v>
      </c>
      <c r="C128" s="4">
        <f t="shared" si="10"/>
        <v>5.8280350990767866</v>
      </c>
      <c r="D128" s="4">
        <f t="shared" si="8"/>
        <v>185.99340368911399</v>
      </c>
      <c r="E128" s="4">
        <f t="shared" si="11"/>
        <v>184.0254556661601</v>
      </c>
    </row>
    <row r="129" spans="1:5" x14ac:dyDescent="0.4">
      <c r="A129">
        <v>58</v>
      </c>
      <c r="B129" s="4">
        <f t="shared" si="9"/>
        <v>2.9642102666729206</v>
      </c>
      <c r="C129" s="4">
        <f t="shared" si="10"/>
        <v>5.809986252848085</v>
      </c>
      <c r="D129" s="4">
        <f t="shared" si="8"/>
        <v>186.01364820017432</v>
      </c>
      <c r="E129" s="4">
        <f t="shared" si="11"/>
        <v>184.05179471691494</v>
      </c>
    </row>
    <row r="130" spans="1:5" x14ac:dyDescent="0.4">
      <c r="A130">
        <v>58.25</v>
      </c>
      <c r="B130" s="4">
        <f t="shared" si="9"/>
        <v>2.9618246478628416</v>
      </c>
      <c r="C130" s="4">
        <f t="shared" si="10"/>
        <v>5.7920742773217029</v>
      </c>
      <c r="D130" s="4">
        <f t="shared" si="8"/>
        <v>186.03350332921394</v>
      </c>
      <c r="E130" s="4">
        <f t="shared" si="11"/>
        <v>184.0776981686268</v>
      </c>
    </row>
    <row r="131" spans="1:5" x14ac:dyDescent="0.4">
      <c r="A131">
        <v>58.5</v>
      </c>
      <c r="B131" s="4">
        <f t="shared" si="9"/>
        <v>2.9594492719377126</v>
      </c>
      <c r="C131" s="4">
        <f t="shared" si="10"/>
        <v>5.7742975520357227</v>
      </c>
      <c r="D131" s="4">
        <f t="shared" si="8"/>
        <v>186.05297445572052</v>
      </c>
      <c r="E131" s="4">
        <f t="shared" si="11"/>
        <v>184.10317194796343</v>
      </c>
    </row>
    <row r="132" spans="1:5" x14ac:dyDescent="0.4">
      <c r="A132">
        <v>58.75</v>
      </c>
      <c r="B132" s="4">
        <f t="shared" si="9"/>
        <v>2.9570840499273889</v>
      </c>
      <c r="C132" s="4">
        <f t="shared" si="10"/>
        <v>5.7566544825528707</v>
      </c>
      <c r="D132" s="4">
        <f t="shared" si="8"/>
        <v>186.07206686700525</v>
      </c>
      <c r="E132" s="4">
        <f t="shared" si="11"/>
        <v>184.12822188062842</v>
      </c>
    </row>
    <row r="133" spans="1:5" x14ac:dyDescent="0.4">
      <c r="A133">
        <v>59</v>
      </c>
      <c r="B133" s="4">
        <f t="shared" si="9"/>
        <v>2.9547288940116028</v>
      </c>
      <c r="C133" s="4">
        <f t="shared" si="10"/>
        <v>5.7391434999338014</v>
      </c>
      <c r="D133" s="4">
        <f t="shared" si="8"/>
        <v>186.09078576013678</v>
      </c>
      <c r="E133" s="4">
        <f t="shared" si="11"/>
        <v>184.15285369347291</v>
      </c>
    </row>
    <row r="134" spans="1:5" x14ac:dyDescent="0.4">
      <c r="A134">
        <v>59.25</v>
      </c>
      <c r="B134" s="4">
        <f t="shared" si="9"/>
        <v>2.9523837175002745</v>
      </c>
      <c r="C134" s="4">
        <f t="shared" si="10"/>
        <v>5.7217630602231608</v>
      </c>
      <c r="D134" s="4">
        <f t="shared" si="8"/>
        <v>186.10913624382698</v>
      </c>
      <c r="E134" s="4">
        <f t="shared" si="11"/>
        <v>184.17707301655497</v>
      </c>
    </row>
    <row r="135" spans="1:5" x14ac:dyDescent="0.4">
      <c r="A135">
        <v>59.5</v>
      </c>
      <c r="B135" s="4">
        <f t="shared" si="9"/>
        <v>2.9500484348142555</v>
      </c>
      <c r="C135" s="4">
        <f t="shared" si="10"/>
        <v>5.704511643948166</v>
      </c>
      <c r="D135" s="4">
        <f t="shared" si="8"/>
        <v>186.12712334026935</v>
      </c>
      <c r="E135" s="4">
        <f t="shared" si="11"/>
        <v>184.2008853851473</v>
      </c>
    </row>
    <row r="136" spans="1:5" x14ac:dyDescent="0.4">
      <c r="A136">
        <v>59.75</v>
      </c>
      <c r="B136" s="4">
        <f t="shared" si="9"/>
        <v>2.9477229614664706</v>
      </c>
      <c r="C136" s="4">
        <f t="shared" si="10"/>
        <v>5.6873877556292918</v>
      </c>
      <c r="D136" s="4">
        <f t="shared" si="8"/>
        <v>186.1447519869327</v>
      </c>
      <c r="E136" s="4">
        <f t="shared" si="11"/>
        <v>184.22429624169607</v>
      </c>
    </row>
    <row r="137" spans="1:5" x14ac:dyDescent="0.4">
      <c r="A137">
        <v>60</v>
      </c>
      <c r="B137" s="4">
        <f t="shared" si="9"/>
        <v>2.9454072140434624</v>
      </c>
      <c r="C137" s="4">
        <f t="shared" si="10"/>
        <v>5.6703899233027668</v>
      </c>
      <c r="D137" s="4">
        <f t="shared" si="8"/>
        <v>186.16202703830999</v>
      </c>
      <c r="E137" s="4">
        <f t="shared" si="11"/>
        <v>184.24731093773104</v>
      </c>
    </row>
    <row r="138" spans="1:5" x14ac:dyDescent="0.4">
      <c r="A138">
        <v>60.25</v>
      </c>
      <c r="B138" s="4">
        <f t="shared" si="9"/>
        <v>2.9431011101873223</v>
      </c>
      <c r="C138" s="4">
        <f t="shared" si="10"/>
        <v>5.6535166980544922</v>
      </c>
      <c r="D138" s="4">
        <f t="shared" si="8"/>
        <v>186.17895326762439</v>
      </c>
      <c r="E138" s="4">
        <f t="shared" si="11"/>
        <v>184.26993473572921</v>
      </c>
    </row>
    <row r="139" spans="1:5" x14ac:dyDescent="0.4">
      <c r="A139">
        <v>60.5</v>
      </c>
      <c r="B139" s="4">
        <f t="shared" si="9"/>
        <v>2.9408045685779993</v>
      </c>
      <c r="C139" s="4">
        <f t="shared" si="10"/>
        <v>5.6367666535650747</v>
      </c>
      <c r="D139" s="4">
        <f t="shared" si="8"/>
        <v>186.19553536849378</v>
      </c>
      <c r="E139" s="4">
        <f t="shared" si="11"/>
        <v>184.29217281093247</v>
      </c>
    </row>
    <row r="140" spans="1:5" x14ac:dyDescent="0.4">
      <c r="A140">
        <v>60.75</v>
      </c>
      <c r="B140" s="4">
        <f t="shared" si="9"/>
        <v>2.9385175089159752</v>
      </c>
      <c r="C140" s="4">
        <f t="shared" si="10"/>
        <v>5.6201383856657525</v>
      </c>
      <c r="D140" s="4">
        <f t="shared" si="8"/>
        <v>186.21177795655493</v>
      </c>
      <c r="E140" s="4">
        <f t="shared" si="11"/>
        <v>184.31403025312218</v>
      </c>
    </row>
    <row r="141" spans="1:5" x14ac:dyDescent="0.4">
      <c r="A141">
        <v>61</v>
      </c>
      <c r="B141" s="4">
        <f t="shared" si="9"/>
        <v>2.9362398519053037</v>
      </c>
      <c r="C141" s="4">
        <f t="shared" si="10"/>
        <v>5.6036305119047221</v>
      </c>
      <c r="D141" s="4">
        <f t="shared" si="8"/>
        <v>186.22768557104749</v>
      </c>
      <c r="E141" s="4">
        <f t="shared" si="11"/>
        <v>184.33551206834949</v>
      </c>
    </row>
    <row r="142" spans="1:5" x14ac:dyDescent="0.4">
      <c r="A142">
        <v>61.25</v>
      </c>
      <c r="B142" s="4">
        <f t="shared" si="9"/>
        <v>2.9339715192369962</v>
      </c>
      <c r="C142" s="4">
        <f t="shared" si="10"/>
        <v>5.5872416711238371</v>
      </c>
      <c r="D142" s="4">
        <f t="shared" si="8"/>
        <v>186.24326267636096</v>
      </c>
      <c r="E142" s="4">
        <f t="shared" si="11"/>
        <v>184.35662318062501</v>
      </c>
    </row>
    <row r="143" spans="1:5" x14ac:dyDescent="0.4">
      <c r="A143">
        <v>61.5</v>
      </c>
      <c r="B143" s="4">
        <f t="shared" si="9"/>
        <v>2.9317124335727476</v>
      </c>
      <c r="C143" s="4">
        <f t="shared" si="10"/>
        <v>5.5709705230450721</v>
      </c>
      <c r="D143" s="4">
        <f t="shared" ref="D143:D206" si="12">$B$6*$B$12/9.81*($B$9*SQRT(2/($B$9-1)*(2/($B$9+1))^(($B$9+1)/($B$9-1))*(1 - (A143/$B$3)^(($B$9-1)/$B$9))) + C143/$B$3*(A143 - $E$5))</f>
        <v>186.25851366354308</v>
      </c>
      <c r="E143" s="4">
        <f t="shared" si="11"/>
        <v>184.37736843356711</v>
      </c>
    </row>
    <row r="144" spans="1:5" x14ac:dyDescent="0.4">
      <c r="A144">
        <v>61.75</v>
      </c>
      <c r="B144" s="4">
        <f t="shared" ref="B144:B207" si="13">SQRT(2/($B$9-1)*((A144/$B$3)^((1-$B$9)/$B$9) - 1))</f>
        <v>2.9294625185290033</v>
      </c>
      <c r="C144" s="4">
        <f t="shared" ref="C144:C207" si="14">1/B144*(2/($B$9+1)*(1 + ($B$9-1)/2*B144^2))^(($B$9+1)/(2*$B$9-2))</f>
        <v>5.55481574786688</v>
      </c>
      <c r="D144" s="4">
        <f t="shared" si="12"/>
        <v>186.2734428517733</v>
      </c>
      <c r="E144" s="4">
        <f t="shared" ref="E144:E207" si="15">$B$6*$B$12/9.81*($B$9*SQRT(2/($B$9-1)*(2/($B$9+1))^(($B$9+1)/($B$9-1))*(1 - (A144/$B$3)^(($B$9-1)/$B$9))) + C144/$B$3*(A144 - $E$4))</f>
        <v>184.39775259201159</v>
      </c>
    </row>
    <row r="145" spans="1:5" x14ac:dyDescent="0.4">
      <c r="A145">
        <v>62</v>
      </c>
      <c r="B145" s="4">
        <f t="shared" si="13"/>
        <v>2.9272216986613437</v>
      </c>
      <c r="C145" s="4">
        <f t="shared" si="14"/>
        <v>5.538776045869727</v>
      </c>
      <c r="D145" s="4">
        <f t="shared" si="12"/>
        <v>186.28805448980009</v>
      </c>
      <c r="E145" s="4">
        <f t="shared" si="15"/>
        <v>184.41778034358222</v>
      </c>
    </row>
    <row r="146" spans="1:5" x14ac:dyDescent="0.4">
      <c r="A146">
        <v>62.25</v>
      </c>
      <c r="B146" s="4">
        <f t="shared" si="13"/>
        <v>2.9249898994491854</v>
      </c>
      <c r="C146" s="4">
        <f t="shared" si="14"/>
        <v>5.5228501370309484</v>
      </c>
      <c r="D146" s="4">
        <f t="shared" si="12"/>
        <v>186.30235275734495</v>
      </c>
      <c r="E146" s="4">
        <f t="shared" si="15"/>
        <v>184.43745630022474</v>
      </c>
    </row>
    <row r="147" spans="1:5" x14ac:dyDescent="0.4">
      <c r="A147">
        <v>62.5</v>
      </c>
      <c r="B147" s="4">
        <f t="shared" si="13"/>
        <v>2.9227670472808023</v>
      </c>
      <c r="C147" s="4">
        <f t="shared" si="14"/>
        <v>5.5070367606484307</v>
      </c>
      <c r="D147" s="4">
        <f t="shared" si="12"/>
        <v>186.31634176647245</v>
      </c>
      <c r="E147" s="4">
        <f t="shared" si="15"/>
        <v>184.45678499970396</v>
      </c>
    </row>
    <row r="148" spans="1:5" x14ac:dyDescent="0.4">
      <c r="A148">
        <v>62.75</v>
      </c>
      <c r="B148" s="4">
        <f t="shared" si="13"/>
        <v>2.9205530694386361</v>
      </c>
      <c r="C148" s="4">
        <f t="shared" si="14"/>
        <v>5.491334674972995</v>
      </c>
      <c r="D148" s="4">
        <f t="shared" si="12"/>
        <v>186.33002556292828</v>
      </c>
      <c r="E148" s="4">
        <f t="shared" si="15"/>
        <v>184.47577090706608</v>
      </c>
    </row>
    <row r="149" spans="1:5" x14ac:dyDescent="0.4">
      <c r="A149">
        <v>63</v>
      </c>
      <c r="B149" s="4">
        <f t="shared" si="13"/>
        <v>2.9183478940849077</v>
      </c>
      <c r="C149" s="4">
        <f t="shared" si="14"/>
        <v>5.4757426568491301</v>
      </c>
      <c r="D149" s="4">
        <f t="shared" si="12"/>
        <v>186.34340812744597</v>
      </c>
      <c r="E149" s="4">
        <f t="shared" si="15"/>
        <v>184.49441841606662</v>
      </c>
    </row>
    <row r="150" spans="1:5" x14ac:dyDescent="0.4">
      <c r="A150">
        <v>63.25</v>
      </c>
      <c r="B150" s="4">
        <f t="shared" si="13"/>
        <v>2.9161514502475194</v>
      </c>
      <c r="C150" s="4">
        <f t="shared" si="14"/>
        <v>5.4602595013640656</v>
      </c>
      <c r="D150" s="4">
        <f t="shared" si="12"/>
        <v>186.35649337702293</v>
      </c>
      <c r="E150" s="4">
        <f t="shared" si="15"/>
        <v>184.51273185056496</v>
      </c>
    </row>
    <row r="151" spans="1:5" x14ac:dyDescent="0.4">
      <c r="A151">
        <v>63.5</v>
      </c>
      <c r="B151" s="4">
        <f t="shared" si="13"/>
        <v>2.9139636678062324</v>
      </c>
      <c r="C151" s="4">
        <f t="shared" si="14"/>
        <v>5.444884021504695</v>
      </c>
      <c r="D151" s="4">
        <f t="shared" si="12"/>
        <v>186.36928516616646</v>
      </c>
      <c r="E151" s="4">
        <f t="shared" si="15"/>
        <v>184.53071546588606</v>
      </c>
    </row>
    <row r="152" spans="1:5" x14ac:dyDescent="0.4">
      <c r="A152">
        <v>63.75</v>
      </c>
      <c r="B152" s="4">
        <f t="shared" si="13"/>
        <v>2.9117844774791193</v>
      </c>
      <c r="C152" s="4">
        <f t="shared" si="14"/>
        <v>5.4296150478223515</v>
      </c>
      <c r="D152" s="4">
        <f t="shared" si="12"/>
        <v>186.38178728811118</v>
      </c>
      <c r="E152" s="4">
        <f t="shared" si="15"/>
        <v>184.54837345015142</v>
      </c>
    </row>
    <row r="153" spans="1:5" x14ac:dyDescent="0.4">
      <c r="A153">
        <v>64</v>
      </c>
      <c r="B153" s="4">
        <f t="shared" si="13"/>
        <v>2.9096138108092879</v>
      </c>
      <c r="C153" s="4">
        <f t="shared" si="14"/>
        <v>5.4144514281051253</v>
      </c>
      <c r="D153" s="4">
        <f t="shared" si="12"/>
        <v>186.39400347600815</v>
      </c>
      <c r="E153" s="4">
        <f t="shared" si="15"/>
        <v>184.56570992557855</v>
      </c>
    </row>
    <row r="154" spans="1:5" x14ac:dyDescent="0.4">
      <c r="A154">
        <v>64.25</v>
      </c>
      <c r="B154" s="4">
        <f t="shared" si="13"/>
        <v>2.9074516001518638</v>
      </c>
      <c r="C154" s="4">
        <f t="shared" si="14"/>
        <v>5.3993920270575382</v>
      </c>
      <c r="D154" s="4">
        <f t="shared" si="12"/>
        <v>186.40593740408659</v>
      </c>
      <c r="E154" s="4">
        <f t="shared" si="15"/>
        <v>184.58272894975107</v>
      </c>
    </row>
    <row r="155" spans="1:5" x14ac:dyDescent="0.4">
      <c r="A155">
        <v>64.5</v>
      </c>
      <c r="B155" s="4">
        <f t="shared" si="13"/>
        <v>2.9052977786612297</v>
      </c>
      <c r="C155" s="4">
        <f t="shared" si="14"/>
        <v>5.3844357259874318</v>
      </c>
      <c r="D155" s="4">
        <f t="shared" si="12"/>
        <v>186.41759268878903</v>
      </c>
      <c r="E155" s="4">
        <f t="shared" si="15"/>
        <v>184.59943451685939</v>
      </c>
    </row>
    <row r="156" spans="1:5" x14ac:dyDescent="0.4">
      <c r="A156">
        <v>64.75</v>
      </c>
      <c r="B156" s="4">
        <f t="shared" si="13"/>
        <v>2.9031522802785084</v>
      </c>
      <c r="C156" s="4">
        <f t="shared" si="14"/>
        <v>5.3695814224997687</v>
      </c>
      <c r="D156" s="4">
        <f t="shared" si="12"/>
        <v>186.42897288988004</v>
      </c>
      <c r="E156" s="4">
        <f t="shared" si="15"/>
        <v>184.61583055891293</v>
      </c>
    </row>
    <row r="157" spans="1:5" x14ac:dyDescent="0.4">
      <c r="A157">
        <v>65</v>
      </c>
      <c r="B157" s="4">
        <f t="shared" si="13"/>
        <v>2.9010150397193009</v>
      </c>
      <c r="C157" s="4">
        <f t="shared" si="14"/>
        <v>5.3548280301973303</v>
      </c>
      <c r="D157" s="4">
        <f t="shared" si="12"/>
        <v>186.44008151153048</v>
      </c>
      <c r="E157" s="4">
        <f t="shared" si="15"/>
        <v>184.63192094692539</v>
      </c>
    </row>
    <row r="158" spans="1:5" x14ac:dyDescent="0.4">
      <c r="A158">
        <v>65.25</v>
      </c>
      <c r="B158" s="4">
        <f t="shared" si="13"/>
        <v>2.8988859924616506</v>
      </c>
      <c r="C158" s="4">
        <f t="shared" si="14"/>
        <v>5.340174478387965</v>
      </c>
      <c r="D158" s="4">
        <f t="shared" si="12"/>
        <v>186.45092200337623</v>
      </c>
      <c r="E158" s="4">
        <f t="shared" si="15"/>
        <v>184.64770949207252</v>
      </c>
    </row>
    <row r="159" spans="1:5" x14ac:dyDescent="0.4">
      <c r="A159">
        <v>65.5</v>
      </c>
      <c r="B159" s="4">
        <f t="shared" si="13"/>
        <v>2.8967650747342457</v>
      </c>
      <c r="C159" s="4">
        <f t="shared" si="14"/>
        <v>5.3256197117983186</v>
      </c>
      <c r="D159" s="4">
        <f t="shared" si="12"/>
        <v>186.4614977615538</v>
      </c>
      <c r="E159" s="4">
        <f t="shared" si="15"/>
        <v>184.66319994682414</v>
      </c>
    </row>
    <row r="160" spans="1:5" x14ac:dyDescent="0.4">
      <c r="A160">
        <v>65.75</v>
      </c>
      <c r="B160" s="4">
        <f t="shared" si="13"/>
        <v>2.894652223504846</v>
      </c>
      <c r="C160" s="4">
        <f t="shared" si="14"/>
        <v>5.31116269029385</v>
      </c>
      <c r="D160" s="4">
        <f t="shared" si="12"/>
        <v>186.47181212971188</v>
      </c>
      <c r="E160" s="4">
        <f t="shared" si="15"/>
        <v>184.67839600605024</v>
      </c>
    </row>
    <row r="161" spans="1:6" x14ac:dyDescent="0.4">
      <c r="A161">
        <v>66</v>
      </c>
      <c r="B161" s="4">
        <f t="shared" si="13"/>
        <v>2.8925473764689378</v>
      </c>
      <c r="C161" s="4">
        <f t="shared" si="14"/>
        <v>5.2968023886050215</v>
      </c>
      <c r="D161" s="4">
        <f t="shared" si="12"/>
        <v>186.48186840000068</v>
      </c>
      <c r="E161" s="4">
        <f t="shared" si="15"/>
        <v>184.69330130810312</v>
      </c>
    </row>
    <row r="162" spans="1:6" x14ac:dyDescent="0.4">
      <c r="A162">
        <v>66.25</v>
      </c>
      <c r="B162" s="4">
        <f t="shared" si="13"/>
        <v>2.8904504720385944</v>
      </c>
      <c r="C162" s="4">
        <f t="shared" si="14"/>
        <v>5.2825377960593594</v>
      </c>
      <c r="D162" s="4">
        <f t="shared" si="12"/>
        <v>186.49166981403897</v>
      </c>
      <c r="E162" s="4">
        <f t="shared" si="15"/>
        <v>184.70791943587449</v>
      </c>
    </row>
    <row r="163" spans="1:6" x14ac:dyDescent="0.4">
      <c r="A163">
        <v>66.5</v>
      </c>
      <c r="B163" s="4">
        <f t="shared" si="13"/>
        <v>2.8883614493315588</v>
      </c>
      <c r="C163" s="4">
        <f t="shared" si="14"/>
        <v>5.2683679163194244</v>
      </c>
      <c r="D163" s="4">
        <f t="shared" si="12"/>
        <v>186.50121956385942</v>
      </c>
      <c r="E163" s="4">
        <f t="shared" si="15"/>
        <v>184.72225391782942</v>
      </c>
    </row>
    <row r="164" spans="1:6" x14ac:dyDescent="0.4">
      <c r="A164">
        <v>66.75</v>
      </c>
      <c r="B164" s="4">
        <f t="shared" si="13"/>
        <v>2.8862802481605256</v>
      </c>
      <c r="C164" s="4">
        <f t="shared" si="14"/>
        <v>5.2542917671264062</v>
      </c>
      <c r="D164" s="4">
        <f t="shared" si="12"/>
        <v>186.51052079283312</v>
      </c>
      <c r="E164" s="4">
        <f t="shared" si="15"/>
        <v>184.73630822901774</v>
      </c>
    </row>
    <row r="165" spans="1:6" x14ac:dyDescent="0.4">
      <c r="A165">
        <v>67</v>
      </c>
      <c r="B165" s="4">
        <f t="shared" si="13"/>
        <v>2.8842068090226323</v>
      </c>
      <c r="C165" s="4">
        <f t="shared" si="14"/>
        <v>5.2403083800492647</v>
      </c>
      <c r="D165" s="4">
        <f t="shared" si="12"/>
        <v>186.51957659657364</v>
      </c>
      <c r="E165" s="4">
        <f t="shared" si="15"/>
        <v>184.75008579206215</v>
      </c>
    </row>
    <row r="166" spans="1:6" x14ac:dyDescent="0.4">
      <c r="A166">
        <v>67.25</v>
      </c>
      <c r="B166" s="4">
        <f t="shared" si="13"/>
        <v>2.8821410730891426</v>
      </c>
      <c r="C166" s="4">
        <f t="shared" si="14"/>
        <v>5.2264168002392619</v>
      </c>
      <c r="D166" s="4">
        <f t="shared" si="12"/>
        <v>186.52839002382098</v>
      </c>
      <c r="E166" s="4">
        <f t="shared" si="15"/>
        <v>184.76358997812579</v>
      </c>
    </row>
    <row r="167" spans="1:6" x14ac:dyDescent="0.4">
      <c r="A167">
        <v>67.5</v>
      </c>
      <c r="B167" s="4">
        <f t="shared" si="13"/>
        <v>2.8800829821953244</v>
      </c>
      <c r="C167" s="4">
        <f t="shared" si="14"/>
        <v>5.212616086189727</v>
      </c>
      <c r="D167" s="4">
        <f t="shared" si="12"/>
        <v>186.53696407730629</v>
      </c>
      <c r="E167" s="4">
        <f t="shared" si="15"/>
        <v>184.77682410785764</v>
      </c>
    </row>
    <row r="168" spans="1:6" x14ac:dyDescent="0.4">
      <c r="A168">
        <v>67.75</v>
      </c>
      <c r="B168" s="4">
        <f t="shared" si="13"/>
        <v>2.8780324788305185</v>
      </c>
      <c r="C168" s="4">
        <f t="shared" si="14"/>
        <v>5.1989053095009394</v>
      </c>
      <c r="D168" s="4">
        <f t="shared" si="12"/>
        <v>186.54530171459763</v>
      </c>
      <c r="E168" s="4">
        <f t="shared" si="15"/>
        <v>184.7897914523177</v>
      </c>
    </row>
    <row r="169" spans="1:6" x14ac:dyDescent="0.4">
      <c r="A169">
        <v>68</v>
      </c>
      <c r="B169" s="4">
        <f t="shared" si="13"/>
        <v>2.8759895061283896</v>
      </c>
      <c r="C169" s="4">
        <f t="shared" si="14"/>
        <v>5.185283554650046</v>
      </c>
      <c r="D169" s="4">
        <f t="shared" si="12"/>
        <v>186.55340584892713</v>
      </c>
      <c r="E169" s="4">
        <f t="shared" si="15"/>
        <v>184.80249523388204</v>
      </c>
    </row>
    <row r="170" spans="1:6" x14ac:dyDescent="0.4">
      <c r="A170">
        <v>68.25</v>
      </c>
      <c r="B170" s="4">
        <f t="shared" si="13"/>
        <v>2.8739540078573613</v>
      </c>
      <c r="C170" s="4">
        <f t="shared" si="14"/>
        <v>5.1717499187658165</v>
      </c>
      <c r="D170" s="4">
        <f t="shared" si="12"/>
        <v>186.56127935000023</v>
      </c>
      <c r="E170" s="4">
        <f t="shared" si="15"/>
        <v>184.8149386271279</v>
      </c>
    </row>
    <row r="171" spans="1:6" x14ac:dyDescent="0.4">
      <c r="A171">
        <v>68.5</v>
      </c>
      <c r="B171" s="4">
        <f t="shared" si="13"/>
        <v>2.8719259284112222</v>
      </c>
      <c r="C171" s="4">
        <f t="shared" si="14"/>
        <v>5.1583035114081213</v>
      </c>
      <c r="D171" s="4">
        <f t="shared" si="12"/>
        <v>186.5689250447877</v>
      </c>
      <c r="E171" s="4">
        <f t="shared" si="15"/>
        <v>184.82712475970024</v>
      </c>
    </row>
    <row r="172" spans="1:6" x14ac:dyDescent="0.4">
      <c r="A172">
        <v>68.75</v>
      </c>
      <c r="B172" s="4">
        <f t="shared" si="13"/>
        <v>2.8699052127999121</v>
      </c>
      <c r="C172" s="4">
        <f t="shared" si="14"/>
        <v>5.1449434543521413</v>
      </c>
      <c r="D172" s="4">
        <f t="shared" si="12"/>
        <v>186.5763457182999</v>
      </c>
      <c r="E172" s="4">
        <f t="shared" si="15"/>
        <v>184.83905671315893</v>
      </c>
    </row>
    <row r="173" spans="1:6" x14ac:dyDescent="0.4">
      <c r="A173">
        <v>69</v>
      </c>
      <c r="B173" s="4">
        <f t="shared" si="13"/>
        <v>2.8678918066404693</v>
      </c>
      <c r="C173" s="4">
        <f t="shared" si="14"/>
        <v>5.131668881376954</v>
      </c>
      <c r="D173" s="4">
        <f t="shared" si="12"/>
        <v>186.58354411434507</v>
      </c>
      <c r="E173" s="4">
        <f t="shared" si="15"/>
        <v>184.85073752380833</v>
      </c>
    </row>
    <row r="174" spans="1:6" x14ac:dyDescent="0.4">
      <c r="A174">
        <v>69.25</v>
      </c>
      <c r="B174" s="4">
        <f t="shared" si="13"/>
        <v>2.8658856561481469</v>
      </c>
      <c r="C174" s="4">
        <f t="shared" si="14"/>
        <v>5.1184789380586269</v>
      </c>
      <c r="D174" s="4">
        <f t="shared" si="12"/>
        <v>186.59052293627096</v>
      </c>
      <c r="E174" s="4">
        <f t="shared" si="15"/>
        <v>184.86217018350882</v>
      </c>
    </row>
    <row r="175" spans="1:6" x14ac:dyDescent="0.4">
      <c r="A175">
        <v>69.5</v>
      </c>
      <c r="B175" s="4">
        <f t="shared" si="13"/>
        <v>2.8638867081276977</v>
      </c>
      <c r="C175" s="4">
        <f t="shared" si="14"/>
        <v>5.1053727815676284</v>
      </c>
      <c r="D175" s="4">
        <f t="shared" si="12"/>
        <v>186.59728484769084</v>
      </c>
      <c r="E175" s="4">
        <f t="shared" si="15"/>
        <v>184.87335764047137</v>
      </c>
    </row>
    <row r="176" spans="1:6" x14ac:dyDescent="0.4">
      <c r="A176" s="12">
        <f>E5</f>
        <v>79.170286101931538</v>
      </c>
      <c r="B176" s="12">
        <f t="shared" si="13"/>
        <v>2.7915958961770793</v>
      </c>
      <c r="C176" s="12">
        <f t="shared" si="14"/>
        <v>4.6550378014325808</v>
      </c>
      <c r="D176" s="12">
        <f t="shared" si="12"/>
        <v>186.71636538189293</v>
      </c>
      <c r="E176" s="12">
        <f t="shared" si="15"/>
        <v>185.14450243282522</v>
      </c>
      <c r="F176" s="2" t="s">
        <v>61</v>
      </c>
    </row>
    <row r="177" spans="1:5" x14ac:dyDescent="0.4">
      <c r="A177">
        <v>69.75</v>
      </c>
      <c r="B177" s="4">
        <f t="shared" si="13"/>
        <v>2.861894909964799</v>
      </c>
      <c r="C177" s="4">
        <f t="shared" si="14"/>
        <v>5.0923495804703176</v>
      </c>
      <c r="D177" s="4">
        <f t="shared" si="12"/>
        <v>186.60383247319379</v>
      </c>
      <c r="E177" s="4">
        <f t="shared" si="15"/>
        <v>184.88430280003448</v>
      </c>
    </row>
    <row r="178" spans="1:5" x14ac:dyDescent="0.4">
      <c r="A178">
        <v>70</v>
      </c>
      <c r="B178" s="4">
        <f t="shared" si="13"/>
        <v>2.8599102096176545</v>
      </c>
      <c r="C178" s="4">
        <f t="shared" si="14"/>
        <v>5.0794085145346752</v>
      </c>
      <c r="D178" s="4">
        <f t="shared" si="12"/>
        <v>186.6101683990403</v>
      </c>
      <c r="E178" s="4">
        <f t="shared" si="15"/>
        <v>184.89500852542577</v>
      </c>
    </row>
    <row r="179" spans="1:5" x14ac:dyDescent="0.4">
      <c r="A179">
        <v>70.25</v>
      </c>
      <c r="B179" s="4">
        <f t="shared" si="13"/>
        <v>2.8579325556087261</v>
      </c>
      <c r="C179" s="4">
        <f t="shared" si="14"/>
        <v>5.0665487745398972</v>
      </c>
      <c r="D179" s="4">
        <f t="shared" si="12"/>
        <v>186.61629517384262</v>
      </c>
      <c r="E179" s="4">
        <f t="shared" si="15"/>
        <v>184.90547763850643</v>
      </c>
    </row>
    <row r="180" spans="1:5" x14ac:dyDescent="0.4">
      <c r="A180">
        <v>70.5</v>
      </c>
      <c r="B180" s="4">
        <f t="shared" si="13"/>
        <v>2.8559618970166341</v>
      </c>
      <c r="C180" s="4">
        <f t="shared" si="14"/>
        <v>5.0537695620899825</v>
      </c>
      <c r="D180" s="4">
        <f t="shared" si="12"/>
        <v>186.62221530923156</v>
      </c>
      <c r="E180" s="4">
        <f t="shared" si="15"/>
        <v>184.91571292050114</v>
      </c>
    </row>
    <row r="181" spans="1:5" x14ac:dyDescent="0.4">
      <c r="A181">
        <v>70.75</v>
      </c>
      <c r="B181" s="4">
        <f t="shared" si="13"/>
        <v>2.8539981834681845</v>
      </c>
      <c r="C181" s="4">
        <f t="shared" si="14"/>
        <v>5.0410700894310914</v>
      </c>
      <c r="D181" s="4">
        <f t="shared" si="12"/>
        <v>186.62793128050851</v>
      </c>
      <c r="E181" s="4">
        <f t="shared" si="15"/>
        <v>184.92571711271131</v>
      </c>
    </row>
    <row r="182" spans="1:5" x14ac:dyDescent="0.4">
      <c r="A182">
        <v>71</v>
      </c>
      <c r="B182" s="4">
        <f t="shared" si="13"/>
        <v>2.8520413651305518</v>
      </c>
      <c r="C182" s="4">
        <f t="shared" si="14"/>
        <v>5.0284495792726078</v>
      </c>
      <c r="D182" s="4">
        <f t="shared" si="12"/>
        <v>186.63344552728427</v>
      </c>
      <c r="E182" s="4">
        <f t="shared" si="15"/>
        <v>184.93549291721499</v>
      </c>
    </row>
    <row r="183" spans="1:5" x14ac:dyDescent="0.4">
      <c r="A183">
        <v>71.25</v>
      </c>
      <c r="B183" s="4">
        <f t="shared" si="13"/>
        <v>2.85009139270359</v>
      </c>
      <c r="C183" s="4">
        <f t="shared" si="14"/>
        <v>5.015907264611843</v>
      </c>
      <c r="D183" s="4">
        <f t="shared" si="12"/>
        <v>186.63876045410439</v>
      </c>
      <c r="E183" s="4">
        <f t="shared" si="15"/>
        <v>184.94504299755087</v>
      </c>
    </row>
    <row r="184" spans="1:5" x14ac:dyDescent="0.4">
      <c r="A184">
        <v>71.5</v>
      </c>
      <c r="B184" s="4">
        <f t="shared" si="13"/>
        <v>2.8481482174122879</v>
      </c>
      <c r="C184" s="4">
        <f t="shared" si="14"/>
        <v>5.0034423885622887</v>
      </c>
      <c r="D184" s="4">
        <f t="shared" si="12"/>
        <v>186.64387843106178</v>
      </c>
      <c r="E184" s="4">
        <f t="shared" si="15"/>
        <v>184.95436997938916</v>
      </c>
    </row>
    <row r="185" spans="1:5" x14ac:dyDescent="0.4">
      <c r="A185">
        <v>71.75</v>
      </c>
      <c r="B185" s="4">
        <f t="shared" si="13"/>
        <v>2.8462117909993512</v>
      </c>
      <c r="C185" s="4">
        <f t="shared" si="14"/>
        <v>4.9910542041852892</v>
      </c>
      <c r="D185" s="4">
        <f t="shared" si="12"/>
        <v>186.64880179439598</v>
      </c>
      <c r="E185" s="4">
        <f t="shared" si="15"/>
        <v>184.9634764511876</v>
      </c>
    </row>
    <row r="186" spans="1:5" x14ac:dyDescent="0.4">
      <c r="A186">
        <v>72</v>
      </c>
      <c r="B186" s="4">
        <f t="shared" si="13"/>
        <v>2.844282065717922</v>
      </c>
      <c r="C186" s="4">
        <f t="shared" si="14"/>
        <v>4.9787419743251693</v>
      </c>
      <c r="D186" s="4">
        <f t="shared" si="12"/>
        <v>186.6535328470811</v>
      </c>
      <c r="E186" s="4">
        <f t="shared" si="15"/>
        <v>184.97236496483501</v>
      </c>
    </row>
    <row r="187" spans="1:5" x14ac:dyDescent="0.4">
      <c r="A187">
        <v>72.25</v>
      </c>
      <c r="B187" s="4">
        <f t="shared" si="13"/>
        <v>2.8423589943244134</v>
      </c>
      <c r="C187" s="4">
        <f t="shared" si="14"/>
        <v>4.9665049714475415</v>
      </c>
      <c r="D187" s="4">
        <f t="shared" si="12"/>
        <v>186.65807385940047</v>
      </c>
      <c r="E187" s="4">
        <f t="shared" si="15"/>
        <v>184.98103803628072</v>
      </c>
    </row>
    <row r="188" spans="1:5" x14ac:dyDescent="0.4">
      <c r="A188">
        <v>72.5</v>
      </c>
      <c r="B188" s="4">
        <f t="shared" si="13"/>
        <v>2.8404425300714857</v>
      </c>
      <c r="C188" s="4">
        <f t="shared" si="14"/>
        <v>4.9543424774809433</v>
      </c>
      <c r="D188" s="4">
        <f t="shared" si="12"/>
        <v>186.66242706951064</v>
      </c>
      <c r="E188" s="4">
        <f t="shared" si="15"/>
        <v>184.98949814615196</v>
      </c>
    </row>
    <row r="189" spans="1:5" x14ac:dyDescent="0.4">
      <c r="A189">
        <v>72.75</v>
      </c>
      <c r="B189" s="4">
        <f t="shared" si="13"/>
        <v>2.838532626701129</v>
      </c>
      <c r="C189" s="4">
        <f t="shared" si="14"/>
        <v>4.9422537836615543</v>
      </c>
      <c r="D189" s="4">
        <f t="shared" si="12"/>
        <v>186.66659468399294</v>
      </c>
      <c r="E189" s="4">
        <f t="shared" si="15"/>
        <v>184.99774774035771</v>
      </c>
    </row>
    <row r="190" spans="1:5" x14ac:dyDescent="0.4">
      <c r="A190">
        <v>73</v>
      </c>
      <c r="B190" s="4">
        <f t="shared" si="13"/>
        <v>2.836629238437876</v>
      </c>
      <c r="C190" s="4">
        <f t="shared" si="14"/>
        <v>4.9302381903810124</v>
      </c>
      <c r="D190" s="4">
        <f t="shared" si="12"/>
        <v>186.67057887839439</v>
      </c>
      <c r="E190" s="4">
        <f t="shared" si="15"/>
        <v>185.00578923068122</v>
      </c>
    </row>
    <row r="191" spans="1:5" x14ac:dyDescent="0.4">
      <c r="A191">
        <v>73.25</v>
      </c>
      <c r="B191" s="4">
        <f t="shared" si="13"/>
        <v>2.8347323199821277</v>
      </c>
      <c r="C191" s="4">
        <f t="shared" si="14"/>
        <v>4.9182950070372158</v>
      </c>
      <c r="D191" s="4">
        <f t="shared" si="12"/>
        <v>186.67438179775735</v>
      </c>
      <c r="E191" s="4">
        <f t="shared" si="15"/>
        <v>185.01362499535992</v>
      </c>
    </row>
    <row r="192" spans="1:5" x14ac:dyDescent="0.4">
      <c r="A192">
        <v>73.5</v>
      </c>
      <c r="B192" s="4">
        <f t="shared" si="13"/>
        <v>2.8328418265035928</v>
      </c>
      <c r="C192" s="4">
        <f t="shared" si="14"/>
        <v>4.9064235518880635</v>
      </c>
      <c r="D192" s="4">
        <f t="shared" si="12"/>
        <v>186.67800555713859</v>
      </c>
      <c r="E192" s="4">
        <f t="shared" si="15"/>
        <v>185.02125737965386</v>
      </c>
    </row>
    <row r="193" spans="1:6" x14ac:dyDescent="0.4">
      <c r="A193">
        <v>73.75</v>
      </c>
      <c r="B193" s="4">
        <f t="shared" si="13"/>
        <v>2.8309577136348456</v>
      </c>
      <c r="C193" s="4">
        <f t="shared" si="14"/>
        <v>4.8946231519080721</v>
      </c>
      <c r="D193" s="4">
        <f t="shared" si="12"/>
        <v>186.68145224211779</v>
      </c>
      <c r="E193" s="4">
        <f t="shared" si="15"/>
        <v>185.02868869640272</v>
      </c>
    </row>
    <row r="194" spans="1:6" x14ac:dyDescent="0.4">
      <c r="A194">
        <v>74</v>
      </c>
      <c r="B194" s="4">
        <f t="shared" si="13"/>
        <v>2.8290799374649831</v>
      </c>
      <c r="C194" s="4">
        <f t="shared" si="14"/>
        <v>4.8828931426477453</v>
      </c>
      <c r="D194" s="4">
        <f t="shared" si="12"/>
        <v>186.68472390929588</v>
      </c>
      <c r="E194" s="4">
        <f t="shared" si="15"/>
        <v>185.03592122657167</v>
      </c>
    </row>
    <row r="195" spans="1:6" x14ac:dyDescent="0.4">
      <c r="A195">
        <v>74.25</v>
      </c>
      <c r="B195" s="4">
        <f t="shared" si="13"/>
        <v>2.827208454533404</v>
      </c>
      <c r="C195" s="4">
        <f t="shared" si="14"/>
        <v>4.8712328680957615</v>
      </c>
      <c r="D195" s="4">
        <f t="shared" si="12"/>
        <v>186.68782258678345</v>
      </c>
      <c r="E195" s="4">
        <f t="shared" si="15"/>
        <v>185.04295721978599</v>
      </c>
    </row>
    <row r="196" spans="1:6" x14ac:dyDescent="0.4">
      <c r="A196">
        <v>74.5</v>
      </c>
      <c r="B196" s="4">
        <f t="shared" si="13"/>
        <v>2.8253432218236791</v>
      </c>
      <c r="C196" s="4">
        <f t="shared" si="14"/>
        <v>4.8596416805437155</v>
      </c>
      <c r="D196" s="4">
        <f t="shared" si="12"/>
        <v>186.69075027467935</v>
      </c>
      <c r="E196" s="4">
        <f t="shared" si="15"/>
        <v>185.0497988948558</v>
      </c>
    </row>
    <row r="197" spans="1:6" x14ac:dyDescent="0.4">
      <c r="A197">
        <v>74.75</v>
      </c>
      <c r="B197" s="4">
        <f t="shared" si="13"/>
        <v>2.8234841967575384</v>
      </c>
      <c r="C197" s="4">
        <f t="shared" si="14"/>
        <v>4.8481189404536131</v>
      </c>
      <c r="D197" s="4">
        <f t="shared" si="12"/>
        <v>186.69350894553952</v>
      </c>
      <c r="E197" s="4">
        <f t="shared" si="15"/>
        <v>185.05644844028922</v>
      </c>
    </row>
    <row r="198" spans="1:6" x14ac:dyDescent="0.4">
      <c r="A198">
        <v>75</v>
      </c>
      <c r="B198" s="4">
        <f t="shared" si="13"/>
        <v>2.8216313371889474</v>
      </c>
      <c r="C198" s="4">
        <f t="shared" si="14"/>
        <v>4.8366640163277808</v>
      </c>
      <c r="D198" s="4">
        <f t="shared" si="12"/>
        <v>186.69610054483712</v>
      </c>
      <c r="E198" s="4">
        <f t="shared" si="15"/>
        <v>185.06290801479688</v>
      </c>
    </row>
    <row r="199" spans="1:6" x14ac:dyDescent="0.4">
      <c r="A199">
        <v>75.25</v>
      </c>
      <c r="B199" s="4">
        <f t="shared" si="13"/>
        <v>2.8197846013982955</v>
      </c>
      <c r="C199" s="4">
        <f t="shared" si="14"/>
        <v>4.8252762845813955</v>
      </c>
      <c r="D199" s="4">
        <f t="shared" si="12"/>
        <v>186.69852699141279</v>
      </c>
      <c r="E199" s="4">
        <f t="shared" si="15"/>
        <v>185.06917974778474</v>
      </c>
    </row>
    <row r="200" spans="1:6" x14ac:dyDescent="0.4">
      <c r="A200">
        <v>75.5</v>
      </c>
      <c r="B200" s="4">
        <f t="shared" si="13"/>
        <v>2.8179439480866684</v>
      </c>
      <c r="C200" s="4">
        <f t="shared" si="14"/>
        <v>4.8139551294173275</v>
      </c>
      <c r="D200" s="4">
        <f t="shared" si="12"/>
        <v>186.70079017791696</v>
      </c>
      <c r="E200" s="4">
        <f t="shared" si="15"/>
        <v>185.07526573983895</v>
      </c>
    </row>
    <row r="201" spans="1:6" x14ac:dyDescent="0.4">
      <c r="A201">
        <v>75.75</v>
      </c>
      <c r="B201" s="4">
        <f t="shared" si="13"/>
        <v>2.8161093363702259</v>
      </c>
      <c r="C201" s="4">
        <f t="shared" si="14"/>
        <v>4.8026999427034776</v>
      </c>
      <c r="D201" s="4">
        <f t="shared" si="12"/>
        <v>186.70289197124234</v>
      </c>
      <c r="E201" s="4">
        <f t="shared" si="15"/>
        <v>185.08116806319978</v>
      </c>
    </row>
    <row r="202" spans="1:6" x14ac:dyDescent="0.4">
      <c r="A202">
        <v>76</v>
      </c>
      <c r="B202" s="4">
        <f t="shared" si="13"/>
        <v>2.8142807257746711</v>
      </c>
      <c r="C202" s="4">
        <f t="shared" si="14"/>
        <v>4.7915101238523921</v>
      </c>
      <c r="D202" s="4">
        <f t="shared" si="12"/>
        <v>186.70483421294907</v>
      </c>
      <c r="E202" s="4">
        <f t="shared" si="15"/>
        <v>185.08688876222715</v>
      </c>
    </row>
    <row r="203" spans="1:6" x14ac:dyDescent="0.4">
      <c r="A203">
        <v>76.25</v>
      </c>
      <c r="B203" s="4">
        <f t="shared" si="13"/>
        <v>2.8124580762298086</v>
      </c>
      <c r="C203" s="4">
        <f t="shared" si="14"/>
        <v>4.7803850797031657</v>
      </c>
      <c r="D203" s="4">
        <f t="shared" si="12"/>
        <v>186.70661871968062</v>
      </c>
      <c r="E203" s="4">
        <f t="shared" si="15"/>
        <v>185.0924298538568</v>
      </c>
    </row>
    <row r="204" spans="1:6" x14ac:dyDescent="0.4">
      <c r="A204">
        <v>76.5</v>
      </c>
      <c r="B204" s="4">
        <f t="shared" si="13"/>
        <v>2.8106413480641952</v>
      </c>
      <c r="C204" s="4">
        <f t="shared" si="14"/>
        <v>4.769324224405584</v>
      </c>
      <c r="D204" s="4">
        <f t="shared" si="12"/>
        <v>186.70824728357249</v>
      </c>
      <c r="E204" s="4">
        <f t="shared" si="15"/>
        <v>185.09779332804777</v>
      </c>
    </row>
    <row r="205" spans="1:6" x14ac:dyDescent="0.4">
      <c r="A205">
        <v>76.75</v>
      </c>
      <c r="B205" s="4">
        <f t="shared" si="13"/>
        <v>2.8088305019998767</v>
      </c>
      <c r="C205" s="4">
        <f t="shared" si="14"/>
        <v>4.7583269793064016</v>
      </c>
      <c r="D205" s="4">
        <f t="shared" si="12"/>
        <v>186.70972167265199</v>
      </c>
      <c r="E205" s="4">
        <f t="shared" si="15"/>
        <v>185.10298114822075</v>
      </c>
    </row>
    <row r="206" spans="1:6" x14ac:dyDescent="0.4">
      <c r="A206">
        <v>77</v>
      </c>
      <c r="B206" s="4">
        <f t="shared" si="13"/>
        <v>2.807025499147211</v>
      </c>
      <c r="C206" s="4">
        <f t="shared" si="14"/>
        <v>4.7473927728378333</v>
      </c>
      <c r="D206" s="4">
        <f t="shared" si="12"/>
        <v>186.71104363123118</v>
      </c>
      <c r="E206" s="4">
        <f t="shared" si="15"/>
        <v>185.10799525168869</v>
      </c>
    </row>
    <row r="207" spans="1:6" x14ac:dyDescent="0.4">
      <c r="A207">
        <v>77.25</v>
      </c>
      <c r="B207" s="4">
        <f t="shared" si="13"/>
        <v>2.8052263009997818</v>
      </c>
      <c r="C207" s="4">
        <f t="shared" si="14"/>
        <v>4.736521040408058</v>
      </c>
      <c r="D207" s="4">
        <f t="shared" ref="D207:D270" si="16">$B$6*$B$12/9.81*($B$9*SQRT(2/($B$9-1)*(2/($B$9+1))^(($B$9+1)/($B$9-1))*(1 - (A207/$B$3)^(($B$9-1)/$B$9))) + C207/$B$3*(A207 - $E$5))</f>
        <v>186.7122148802917</v>
      </c>
      <c r="E207" s="4">
        <f t="shared" si="15"/>
        <v>185.11283755007844</v>
      </c>
    </row>
    <row r="208" spans="1:6" x14ac:dyDescent="0.4">
      <c r="A208" s="3">
        <v>77.5</v>
      </c>
      <c r="B208" s="5">
        <f t="shared" ref="B208:B271" si="17">SQRT(2/($B$9-1)*((A208/$B$3)^((1-$B$9)/$B$9) - 1))</f>
        <v>2.8034328694293866</v>
      </c>
      <c r="C208" s="5">
        <f t="shared" ref="C208:C271" si="18">1/B208*(2/($B$9+1)*(1 + ($B$9-1)/2*B208^2))^(($B$9+1)/(2*$B$9-2))</f>
        <v>4.7257112242938026</v>
      </c>
      <c r="D208" s="5">
        <f t="shared" si="16"/>
        <v>186.71323711786249</v>
      </c>
      <c r="E208" s="5">
        <f t="shared" ref="E208:E271" si="19">$B$6*$B$12/9.81*($B$9*SQRT(2/($B$9-1)*(2/($B$9+1))^(($B$9+1)/($B$9-1))*(1 - (A208/$B$3)^(($B$9-1)/$B$9))) + C208/$B$3*(A208 - $E$4))</f>
        <v>185.11750992974498</v>
      </c>
      <c r="F208" t="s">
        <v>80</v>
      </c>
    </row>
    <row r="209" spans="1:5" x14ac:dyDescent="0.4">
      <c r="A209">
        <v>77.75</v>
      </c>
      <c r="B209" s="4">
        <f t="shared" si="17"/>
        <v>2.80164516668111</v>
      </c>
      <c r="C209" s="4">
        <f t="shared" si="18"/>
        <v>4.7149627735348973</v>
      </c>
      <c r="D209" s="4">
        <f t="shared" si="16"/>
        <v>186.71411201938989</v>
      </c>
      <c r="E209" s="4">
        <f t="shared" si="19"/>
        <v>185.12201425217688</v>
      </c>
    </row>
    <row r="210" spans="1:5" x14ac:dyDescent="0.4">
      <c r="A210">
        <v>78</v>
      </c>
      <c r="B210" s="4">
        <f t="shared" si="17"/>
        <v>2.799863155368477</v>
      </c>
      <c r="C210" s="4">
        <f t="shared" si="18"/>
        <v>4.7042751438307944</v>
      </c>
      <c r="D210" s="4">
        <f t="shared" si="16"/>
        <v>186.71484123810117</v>
      </c>
      <c r="E210" s="4">
        <f t="shared" si="19"/>
        <v>185.12635235439498</v>
      </c>
    </row>
    <row r="211" spans="1:5" x14ac:dyDescent="0.4">
      <c r="A211">
        <v>78.25</v>
      </c>
      <c r="B211" s="4">
        <f t="shared" si="17"/>
        <v>2.7980867984686877</v>
      </c>
      <c r="C211" s="4">
        <f t="shared" si="18"/>
        <v>4.6936477974389996</v>
      </c>
      <c r="D211" s="4">
        <f t="shared" si="16"/>
        <v>186.71542640536089</v>
      </c>
      <c r="E211" s="4">
        <f t="shared" si="19"/>
        <v>185.1305260493429</v>
      </c>
    </row>
    <row r="212" spans="1:5" x14ac:dyDescent="0.4">
      <c r="A212">
        <v>78.5</v>
      </c>
      <c r="B212" s="4">
        <f t="shared" si="17"/>
        <v>2.796316059317923</v>
      </c>
      <c r="C212" s="4">
        <f t="shared" si="18"/>
        <v>4.6830802030753738</v>
      </c>
      <c r="D212" s="4">
        <f t="shared" si="16"/>
        <v>186.71586913102027</v>
      </c>
      <c r="E212" s="4">
        <f t="shared" si="19"/>
        <v>185.13453712627023</v>
      </c>
    </row>
    <row r="213" spans="1:5" x14ac:dyDescent="0.4">
      <c r="A213">
        <v>78.75</v>
      </c>
      <c r="B213" s="4">
        <f t="shared" si="17"/>
        <v>2.7945509016067263</v>
      </c>
      <c r="C213" s="4">
        <f t="shared" si="18"/>
        <v>4.6725718358162371</v>
      </c>
      <c r="D213" s="4">
        <f t="shared" si="16"/>
        <v>186.71617100376034</v>
      </c>
      <c r="E213" s="4">
        <f t="shared" si="19"/>
        <v>185.13838735110849</v>
      </c>
    </row>
    <row r="214" spans="1:5" x14ac:dyDescent="0.4">
      <c r="A214">
        <v>79</v>
      </c>
      <c r="B214" s="4">
        <f t="shared" si="17"/>
        <v>2.7927912893754647</v>
      </c>
      <c r="C214" s="4">
        <f t="shared" si="18"/>
        <v>4.662122177002308</v>
      </c>
      <c r="D214" s="4">
        <f t="shared" si="16"/>
        <v>186.71633359142862</v>
      </c>
      <c r="E214" s="4">
        <f t="shared" si="19"/>
        <v>185.1420784668405</v>
      </c>
    </row>
    <row r="215" spans="1:5" x14ac:dyDescent="0.4">
      <c r="A215">
        <v>79.25</v>
      </c>
      <c r="B215" s="4">
        <f t="shared" si="17"/>
        <v>2.7910371870098567</v>
      </c>
      <c r="C215" s="4">
        <f t="shared" si="18"/>
        <v>4.6517307141443442</v>
      </c>
      <c r="D215" s="4">
        <f t="shared" si="16"/>
        <v>186.71635844136884</v>
      </c>
      <c r="E215" s="4">
        <f t="shared" si="19"/>
        <v>185.14561219386181</v>
      </c>
    </row>
    <row r="216" spans="1:5" x14ac:dyDescent="0.4">
      <c r="A216">
        <v>79.5</v>
      </c>
      <c r="B216" s="4">
        <f t="shared" si="17"/>
        <v>2.7892885592365744</v>
      </c>
      <c r="C216" s="4">
        <f t="shared" si="18"/>
        <v>4.6413969408305302</v>
      </c>
      <c r="D216" s="4">
        <f t="shared" si="16"/>
        <v>186.71624708074529</v>
      </c>
      <c r="E216" s="4">
        <f t="shared" si="19"/>
        <v>185.14899023033641</v>
      </c>
    </row>
    <row r="217" spans="1:5" x14ac:dyDescent="0.4">
      <c r="A217">
        <v>79.75</v>
      </c>
      <c r="B217" s="4">
        <f t="shared" si="17"/>
        <v>2.7875453711189127</v>
      </c>
      <c r="C217" s="4">
        <f t="shared" si="18"/>
        <v>4.6311203566355355</v>
      </c>
      <c r="D217" s="4">
        <f t="shared" si="16"/>
        <v>186.71600101686076</v>
      </c>
      <c r="E217" s="4">
        <f t="shared" si="19"/>
        <v>185.15221425254526</v>
      </c>
    </row>
    <row r="218" spans="1:5" x14ac:dyDescent="0.4">
      <c r="A218">
        <v>80</v>
      </c>
      <c r="B218" s="4">
        <f t="shared" si="17"/>
        <v>2.7858075880525277</v>
      </c>
      <c r="C218" s="4">
        <f t="shared" si="18"/>
        <v>4.6209004670311904</v>
      </c>
      <c r="D218" s="4">
        <f t="shared" si="16"/>
        <v>186.71562173746818</v>
      </c>
      <c r="E218" s="4">
        <f t="shared" si="19"/>
        <v>185.15528591522832</v>
      </c>
    </row>
    <row r="219" spans="1:5" x14ac:dyDescent="0.4">
      <c r="A219">
        <v>80.25</v>
      </c>
      <c r="B219" s="4">
        <f t="shared" si="17"/>
        <v>2.7840751757612479</v>
      </c>
      <c r="C219" s="4">
        <f t="shared" si="18"/>
        <v>4.6107367832988295</v>
      </c>
      <c r="D219" s="4">
        <f t="shared" si="16"/>
        <v>186.71511071107739</v>
      </c>
      <c r="E219" s="4">
        <f t="shared" si="19"/>
        <v>185.1582068519206</v>
      </c>
    </row>
    <row r="220" spans="1:5" x14ac:dyDescent="0.4">
      <c r="A220">
        <v>80.5</v>
      </c>
      <c r="B220" s="4">
        <f t="shared" si="17"/>
        <v>2.7823481002929387</v>
      </c>
      <c r="C220" s="4">
        <f t="shared" si="18"/>
        <v>4.6006288224431158</v>
      </c>
      <c r="D220" s="4">
        <f t="shared" si="16"/>
        <v>186.71446938725504</v>
      </c>
      <c r="E220" s="4">
        <f t="shared" si="19"/>
        <v>185.16097867528148</v>
      </c>
    </row>
    <row r="221" spans="1:5" x14ac:dyDescent="0.4">
      <c r="A221" s="4">
        <v>80.75</v>
      </c>
      <c r="B221" s="4">
        <f t="shared" si="17"/>
        <v>2.7806263280154444</v>
      </c>
      <c r="C221" s="4">
        <f t="shared" si="18"/>
        <v>4.5905761071074886</v>
      </c>
      <c r="D221" s="4">
        <f t="shared" si="16"/>
        <v>186.71369919692003</v>
      </c>
      <c r="E221" s="4">
        <f t="shared" si="19"/>
        <v>185.16360297741844</v>
      </c>
    </row>
    <row r="222" spans="1:5" x14ac:dyDescent="0.4">
      <c r="A222" s="11">
        <v>81</v>
      </c>
      <c r="B222" s="4">
        <f t="shared" si="17"/>
        <v>2.7789098256125868</v>
      </c>
      <c r="C222" s="4">
        <f t="shared" si="18"/>
        <v>4.5805781654910813</v>
      </c>
      <c r="D222" s="4">
        <f t="shared" si="16"/>
        <v>186.7128015526329</v>
      </c>
      <c r="E222" s="4">
        <f t="shared" si="19"/>
        <v>185.16608133020458</v>
      </c>
    </row>
    <row r="223" spans="1:5" x14ac:dyDescent="0.4">
      <c r="A223">
        <v>81.25</v>
      </c>
      <c r="B223" s="4">
        <f t="shared" si="17"/>
        <v>2.7771985600802251</v>
      </c>
      <c r="C223" s="4">
        <f t="shared" si="18"/>
        <v>4.5706345312671122</v>
      </c>
      <c r="D223" s="4">
        <f t="shared" si="16"/>
        <v>186.71177784887988</v>
      </c>
      <c r="E223" s="4">
        <f t="shared" si="19"/>
        <v>185.16841528559047</v>
      </c>
    </row>
    <row r="224" spans="1:5" x14ac:dyDescent="0.4">
      <c r="A224">
        <v>81.5</v>
      </c>
      <c r="B224" s="4">
        <f t="shared" si="17"/>
        <v>2.7754924987223863</v>
      </c>
      <c r="C224" s="4">
        <f t="shared" si="18"/>
        <v>4.560744743502755</v>
      </c>
      <c r="D224" s="4">
        <f t="shared" si="16"/>
        <v>186.71062946235244</v>
      </c>
      <c r="E224" s="4">
        <f t="shared" si="19"/>
        <v>185.17060637591024</v>
      </c>
    </row>
    <row r="225" spans="1:6" x14ac:dyDescent="0.4">
      <c r="A225">
        <v>81.75</v>
      </c>
      <c r="B225" s="4">
        <f t="shared" si="17"/>
        <v>2.7737916091474371</v>
      </c>
      <c r="C225" s="4">
        <f t="shared" si="18"/>
        <v>4.5509083465803606</v>
      </c>
      <c r="D225" s="4">
        <f t="shared" si="16"/>
        <v>186.7093577522204</v>
      </c>
      <c r="E225" s="4">
        <f t="shared" si="19"/>
        <v>185.1726561141819</v>
      </c>
    </row>
    <row r="226" spans="1:6" x14ac:dyDescent="0.4">
      <c r="A226">
        <v>82</v>
      </c>
      <c r="B226" s="4">
        <f t="shared" si="17"/>
        <v>2.772095859264335</v>
      </c>
      <c r="C226" s="4">
        <f t="shared" si="18"/>
        <v>4.541124890120126</v>
      </c>
      <c r="D226" s="4">
        <f t="shared" si="16"/>
        <v>186.70796406040165</v>
      </c>
      <c r="E226" s="4">
        <f t="shared" si="19"/>
        <v>185.17456599440266</v>
      </c>
    </row>
    <row r="227" spans="1:6" x14ac:dyDescent="0.4">
      <c r="A227">
        <v>82.25</v>
      </c>
      <c r="B227" s="4">
        <f t="shared" si="17"/>
        <v>2.7704052172789262</v>
      </c>
      <c r="C227" s="4">
        <f t="shared" si="18"/>
        <v>4.5313939289041203</v>
      </c>
      <c r="D227" s="4">
        <f t="shared" si="16"/>
        <v>186.70644971182571</v>
      </c>
      <c r="E227" s="4">
        <f t="shared" si="19"/>
        <v>185.17633749183844</v>
      </c>
    </row>
    <row r="228" spans="1:6" x14ac:dyDescent="0.4">
      <c r="A228">
        <v>82.5</v>
      </c>
      <c r="B228" s="4">
        <f t="shared" si="17"/>
        <v>2.7687196516902985</v>
      </c>
      <c r="C228" s="4">
        <f t="shared" si="18"/>
        <v>4.5217150228015726</v>
      </c>
      <c r="D228" s="4">
        <f t="shared" si="16"/>
        <v>186.70481601469322</v>
      </c>
      <c r="E228" s="4">
        <f t="shared" si="19"/>
        <v>185.17797206330852</v>
      </c>
    </row>
    <row r="229" spans="1:6" x14ac:dyDescent="0.4">
      <c r="A229">
        <v>82.75</v>
      </c>
      <c r="B229" s="4">
        <f t="shared" si="17"/>
        <v>2.7670391312871994</v>
      </c>
      <c r="C229" s="4">
        <f t="shared" si="18"/>
        <v>4.5120877366955616</v>
      </c>
      <c r="D229" s="4">
        <f t="shared" si="16"/>
        <v>186.70306426073057</v>
      </c>
      <c r="E229" s="4">
        <f t="shared" si="19"/>
        <v>185.17947114746482</v>
      </c>
    </row>
    <row r="230" spans="1:6" x14ac:dyDescent="0.4">
      <c r="A230">
        <v>83</v>
      </c>
      <c r="B230" s="4">
        <f t="shared" si="17"/>
        <v>2.7653636251444942</v>
      </c>
      <c r="C230" s="4">
        <f t="shared" si="18"/>
        <v>4.5025116404108747</v>
      </c>
      <c r="D230" s="4">
        <f t="shared" si="16"/>
        <v>186.70119572543973</v>
      </c>
      <c r="E230" s="4">
        <f t="shared" si="19"/>
        <v>185.18083616506627</v>
      </c>
    </row>
    <row r="231" spans="1:6" x14ac:dyDescent="0.4">
      <c r="A231">
        <v>83.25</v>
      </c>
      <c r="B231" s="4">
        <f t="shared" si="17"/>
        <v>2.7636931026196958</v>
      </c>
      <c r="C231" s="4">
        <f t="shared" si="18"/>
        <v>4.4929863086432382</v>
      </c>
      <c r="D231" s="4">
        <f t="shared" si="16"/>
        <v>186.69921166834388</v>
      </c>
      <c r="E231" s="4">
        <f t="shared" si="19"/>
        <v>185.18206851924822</v>
      </c>
    </row>
    <row r="232" spans="1:6" x14ac:dyDescent="0.4">
      <c r="A232">
        <v>83.5</v>
      </c>
      <c r="B232" s="4">
        <f t="shared" si="17"/>
        <v>2.762027533349531</v>
      </c>
      <c r="C232" s="4">
        <f t="shared" si="18"/>
        <v>4.4835113208896464</v>
      </c>
      <c r="D232" s="4">
        <f t="shared" si="16"/>
        <v>186.69711333322866</v>
      </c>
      <c r="E232" s="4">
        <f t="shared" si="19"/>
        <v>185.18316959578723</v>
      </c>
    </row>
    <row r="233" spans="1:6" x14ac:dyDescent="0.4">
      <c r="A233">
        <v>83.75</v>
      </c>
      <c r="B233" s="4">
        <f t="shared" si="17"/>
        <v>2.7603668872465685</v>
      </c>
      <c r="C233" s="4">
        <f t="shared" si="18"/>
        <v>4.4740862613799761</v>
      </c>
      <c r="D233" s="4">
        <f t="shared" si="16"/>
        <v>186.69490194837886</v>
      </c>
      <c r="E233" s="4">
        <f t="shared" si="19"/>
        <v>185.18414076336083</v>
      </c>
    </row>
    <row r="234" spans="1:6" x14ac:dyDescent="0.4">
      <c r="A234">
        <v>84</v>
      </c>
      <c r="B234" s="4">
        <f t="shared" si="17"/>
        <v>2.7587111344958926</v>
      </c>
      <c r="C234" s="4">
        <f t="shared" si="18"/>
        <v>4.4647107190097719</v>
      </c>
      <c r="D234" s="4">
        <f t="shared" si="16"/>
        <v>186.69257872681112</v>
      </c>
      <c r="E234" s="4">
        <f t="shared" si="19"/>
        <v>185.18498337380302</v>
      </c>
    </row>
    <row r="235" spans="1:6" x14ac:dyDescent="0.4">
      <c r="A235">
        <v>84.25</v>
      </c>
      <c r="B235" s="4">
        <f t="shared" si="17"/>
        <v>2.7570602455518292</v>
      </c>
      <c r="C235" s="4">
        <f t="shared" si="18"/>
        <v>4.4553842872741214</v>
      </c>
      <c r="D235" s="4">
        <f t="shared" si="16"/>
        <v>186.69014486650241</v>
      </c>
      <c r="E235" s="4">
        <f t="shared" si="19"/>
        <v>185.18569876235489</v>
      </c>
    </row>
    <row r="236" spans="1:6" x14ac:dyDescent="0.4">
      <c r="A236">
        <v>84.5</v>
      </c>
      <c r="B236" s="4">
        <f t="shared" si="17"/>
        <v>2.7554141911347201</v>
      </c>
      <c r="C236" s="4">
        <f t="shared" si="18"/>
        <v>4.4461065642027391</v>
      </c>
      <c r="D236" s="4">
        <f t="shared" si="16"/>
        <v>186.68760155061443</v>
      </c>
      <c r="E236" s="4">
        <f t="shared" si="19"/>
        <v>185.18628824791125</v>
      </c>
    </row>
    <row r="237" spans="1:6" x14ac:dyDescent="0.4">
      <c r="A237">
        <v>84.75</v>
      </c>
      <c r="B237" s="4">
        <f t="shared" si="17"/>
        <v>2.7537729422277466</v>
      </c>
      <c r="C237" s="4">
        <f t="shared" si="18"/>
        <v>4.4368771522961028</v>
      </c>
      <c r="D237" s="4">
        <f t="shared" si="16"/>
        <v>186.6849499477143</v>
      </c>
      <c r="E237" s="4">
        <f t="shared" si="19"/>
        <v>185.18675313326244</v>
      </c>
    </row>
    <row r="238" spans="1:6" x14ac:dyDescent="0.4">
      <c r="A238">
        <v>85</v>
      </c>
      <c r="B238" s="4">
        <f t="shared" si="17"/>
        <v>2.7521364700737951</v>
      </c>
      <c r="C238" s="4">
        <f t="shared" si="18"/>
        <v>4.4276956584626825</v>
      </c>
      <c r="D238" s="4">
        <f t="shared" si="16"/>
        <v>186.68219121199081</v>
      </c>
      <c r="E238" s="4">
        <f t="shared" si="19"/>
        <v>185.18709470533227</v>
      </c>
    </row>
    <row r="239" spans="1:6" x14ac:dyDescent="0.4">
      <c r="A239">
        <v>85.25</v>
      </c>
      <c r="B239" s="4">
        <f t="shared" si="17"/>
        <v>2.7505047461723771</v>
      </c>
      <c r="C239" s="4">
        <f t="shared" si="18"/>
        <v>4.418561693957253</v>
      </c>
      <c r="D239" s="4">
        <f t="shared" si="16"/>
        <v>186.67932648346769</v>
      </c>
      <c r="E239" s="4">
        <f t="shared" si="19"/>
        <v>185.18731423541169</v>
      </c>
    </row>
    <row r="240" spans="1:6" x14ac:dyDescent="0.4">
      <c r="A240" s="3">
        <v>85.5</v>
      </c>
      <c r="B240" s="5">
        <f t="shared" si="17"/>
        <v>2.7488777422765924</v>
      </c>
      <c r="C240" s="5">
        <f t="shared" si="18"/>
        <v>4.4094748743202601</v>
      </c>
      <c r="D240" s="5">
        <f t="shared" si="16"/>
        <v>186.67635688821255</v>
      </c>
      <c r="E240" s="5">
        <f t="shared" si="19"/>
        <v>185.18741297938845</v>
      </c>
      <c r="F240" s="2" t="s">
        <v>62</v>
      </c>
    </row>
    <row r="241" spans="1:5" x14ac:dyDescent="0.4">
      <c r="A241">
        <v>85.75</v>
      </c>
      <c r="B241" s="4">
        <f t="shared" si="17"/>
        <v>2.7472554303901289</v>
      </c>
      <c r="C241" s="4">
        <f t="shared" si="18"/>
        <v>4.4004348193181322</v>
      </c>
      <c r="D241" s="4">
        <f t="shared" si="16"/>
        <v>186.67328353854205</v>
      </c>
      <c r="E241" s="4">
        <f t="shared" si="19"/>
        <v>185.18739217797244</v>
      </c>
    </row>
    <row r="242" spans="1:5" x14ac:dyDescent="0.4">
      <c r="A242">
        <v>86</v>
      </c>
      <c r="B242" s="4">
        <f t="shared" si="17"/>
        <v>2.7456377827643172</v>
      </c>
      <c r="C242" s="4">
        <f t="shared" si="18"/>
        <v>4.3914411528846857</v>
      </c>
      <c r="D242" s="4">
        <f t="shared" si="16"/>
        <v>186.67010753322418</v>
      </c>
      <c r="E242" s="4">
        <f t="shared" si="19"/>
        <v>185.18725305691763</v>
      </c>
    </row>
    <row r="243" spans="1:5" x14ac:dyDescent="0.4">
      <c r="A243">
        <v>86.25</v>
      </c>
      <c r="B243" s="4">
        <f t="shared" si="17"/>
        <v>2.7440247718952251</v>
      </c>
      <c r="C243" s="4">
        <f t="shared" si="18"/>
        <v>4.3824935030634506</v>
      </c>
      <c r="D243" s="4">
        <f t="shared" si="16"/>
        <v>186.6668299576765</v>
      </c>
      <c r="E243" s="4">
        <f t="shared" si="19"/>
        <v>185.18699682723977</v>
      </c>
    </row>
    <row r="244" spans="1:5" x14ac:dyDescent="0.4">
      <c r="A244">
        <v>86.5</v>
      </c>
      <c r="B244" s="4">
        <f t="shared" si="17"/>
        <v>2.7424163705207918</v>
      </c>
      <c r="C244" s="4">
        <f>1/B244*(2/($B$9+1)*(1 + ($B$9-1)/2*B244^2))^(($B$9+1)/(2*$B$9-2))</f>
        <v>4.3735915019510028</v>
      </c>
      <c r="D244" s="4">
        <f t="shared" si="16"/>
        <v>186.66345188416108</v>
      </c>
      <c r="E244" s="4">
        <f t="shared" si="19"/>
        <v>185.18662468543062</v>
      </c>
    </row>
    <row r="245" spans="1:5" x14ac:dyDescent="0.4">
      <c r="A245">
        <v>86.75</v>
      </c>
      <c r="B245" s="4">
        <f t="shared" si="17"/>
        <v>2.7408125516180033</v>
      </c>
      <c r="C245" s="4">
        <f t="shared" si="18"/>
        <v>4.3647347856411729</v>
      </c>
      <c r="D245" s="4">
        <f t="shared" si="16"/>
        <v>186.65997437197589</v>
      </c>
      <c r="E245" s="4">
        <f t="shared" si="19"/>
        <v>185.18613781366807</v>
      </c>
    </row>
    <row r="246" spans="1:5" x14ac:dyDescent="0.4">
      <c r="A246">
        <v>87</v>
      </c>
      <c r="B246" s="4">
        <f t="shared" si="17"/>
        <v>2.7392132884001175</v>
      </c>
      <c r="C246" s="4">
        <f t="shared" si="18"/>
        <v>4.3559229941702808</v>
      </c>
      <c r="D246" s="4">
        <f t="shared" si="16"/>
        <v>186.65639846764353</v>
      </c>
      <c r="E246" s="4">
        <f t="shared" si="19"/>
        <v>185.18553738002333</v>
      </c>
    </row>
    <row r="247" spans="1:5" x14ac:dyDescent="0.4">
      <c r="A247">
        <v>87.25</v>
      </c>
      <c r="B247" s="4">
        <f t="shared" si="17"/>
        <v>2.7376185543139164</v>
      </c>
      <c r="C247" s="4">
        <f t="shared" si="18"/>
        <v>4.3471557714631768</v>
      </c>
      <c r="D247" s="4">
        <f t="shared" si="16"/>
        <v>186.65272520509592</v>
      </c>
      <c r="E247" s="4">
        <f t="shared" si="19"/>
        <v>185.18482453866397</v>
      </c>
    </row>
    <row r="248" spans="1:5" x14ac:dyDescent="0.4">
      <c r="A248">
        <v>87.5</v>
      </c>
      <c r="B248" s="4">
        <f t="shared" si="17"/>
        <v>2.7360283230370088</v>
      </c>
      <c r="C248" s="4">
        <f t="shared" si="18"/>
        <v>4.3384327652802277</v>
      </c>
      <c r="D248" s="4">
        <f t="shared" si="16"/>
        <v>186.64895560585634</v>
      </c>
      <c r="E248" s="4">
        <f t="shared" si="19"/>
        <v>185.1840004300538</v>
      </c>
    </row>
    <row r="249" spans="1:5" x14ac:dyDescent="0.4">
      <c r="A249">
        <v>87.75</v>
      </c>
      <c r="B249" s="4">
        <f t="shared" si="17"/>
        <v>2.7344425684751665</v>
      </c>
      <c r="C249" s="4">
        <f t="shared" si="18"/>
        <v>4.329753627165176</v>
      </c>
      <c r="D249" s="4">
        <f t="shared" si="16"/>
        <v>186.64509067921836</v>
      </c>
      <c r="E249" s="4">
        <f t="shared" si="19"/>
        <v>185.1830661811492</v>
      </c>
    </row>
    <row r="250" spans="1:5" x14ac:dyDescent="0.4">
      <c r="A250">
        <v>88</v>
      </c>
      <c r="B250" s="4">
        <f t="shared" si="17"/>
        <v>2.7328612647597006</v>
      </c>
      <c r="C250" s="4">
        <f t="shared" si="18"/>
        <v>4.3211180123938178</v>
      </c>
      <c r="D250" s="4">
        <f t="shared" si="16"/>
        <v>186.64113142242127</v>
      </c>
      <c r="E250" s="4">
        <f t="shared" si="19"/>
        <v>185.18202290559233</v>
      </c>
    </row>
    <row r="251" spans="1:5" x14ac:dyDescent="0.4">
      <c r="A251">
        <v>88.25</v>
      </c>
      <c r="B251" s="4">
        <f t="shared" si="17"/>
        <v>2.7312843862448717</v>
      </c>
      <c r="C251" s="4">
        <f t="shared" si="18"/>
        <v>4.3125255799235678</v>
      </c>
      <c r="D251" s="4">
        <f t="shared" si="16"/>
        <v>186.63707882082301</v>
      </c>
      <c r="E251" s="4">
        <f t="shared" si="19"/>
        <v>185.18087170390069</v>
      </c>
    </row>
    <row r="252" spans="1:5" x14ac:dyDescent="0.4">
      <c r="A252">
        <v>88.5</v>
      </c>
      <c r="B252" s="4">
        <f t="shared" si="17"/>
        <v>2.7297119075053446</v>
      </c>
      <c r="C252" s="4">
        <f t="shared" si="18"/>
        <v>4.3039759923438075</v>
      </c>
      <c r="D252" s="4">
        <f t="shared" si="16"/>
        <v>186.63293384807022</v>
      </c>
      <c r="E252" s="4">
        <f t="shared" si="19"/>
        <v>185.1796136636541</v>
      </c>
    </row>
    <row r="253" spans="1:5" x14ac:dyDescent="0.4">
      <c r="A253">
        <v>88.75</v>
      </c>
      <c r="B253" s="4">
        <f t="shared" si="17"/>
        <v>2.7281438033336709</v>
      </c>
      <c r="C253" s="4">
        <f t="shared" si="18"/>
        <v>4.2954689158270662</v>
      </c>
      <c r="D253" s="4">
        <f t="shared" si="16"/>
        <v>186.62869746626495</v>
      </c>
      <c r="E253" s="4">
        <f t="shared" si="19"/>
        <v>185.17824985967783</v>
      </c>
    </row>
    <row r="254" spans="1:5" x14ac:dyDescent="0.4">
      <c r="A254">
        <v>89</v>
      </c>
      <c r="B254" s="4">
        <f t="shared" si="17"/>
        <v>2.7265800487378162</v>
      </c>
      <c r="C254" s="4">
        <f t="shared" si="18"/>
        <v>4.287004020080988</v>
      </c>
      <c r="D254" s="4">
        <f t="shared" si="16"/>
        <v>186.62437062612898</v>
      </c>
      <c r="E254" s="4">
        <f t="shared" si="19"/>
        <v>185.17678135422321</v>
      </c>
    </row>
    <row r="255" spans="1:5" x14ac:dyDescent="0.4">
      <c r="A255">
        <v>89.25</v>
      </c>
      <c r="B255" s="4">
        <f t="shared" si="17"/>
        <v>2.7250206189387094</v>
      </c>
      <c r="C255" s="4">
        <f t="shared" si="18"/>
        <v>4.2785809783010498</v>
      </c>
      <c r="D255" s="4">
        <f t="shared" si="16"/>
        <v>186.61995426716507</v>
      </c>
      <c r="E255" s="4">
        <f t="shared" si="19"/>
        <v>185.17520919714494</v>
      </c>
    </row>
    <row r="256" spans="1:5" x14ac:dyDescent="0.4">
      <c r="A256">
        <v>89.5</v>
      </c>
      <c r="B256" s="4">
        <f t="shared" si="17"/>
        <v>2.7234654893678414</v>
      </c>
      <c r="C256" s="4">
        <f t="shared" si="18"/>
        <v>4.2701994671240993</v>
      </c>
      <c r="D256" s="4">
        <f t="shared" si="16"/>
        <v>186.615449317816</v>
      </c>
      <c r="E256" s="4">
        <f t="shared" si="19"/>
        <v>185.17353442607541</v>
      </c>
    </row>
    <row r="257" spans="1:5" x14ac:dyDescent="0.4">
      <c r="A257">
        <v>89.75</v>
      </c>
      <c r="B257" s="4">
        <f t="shared" si="17"/>
        <v>2.7219146356648882</v>
      </c>
      <c r="C257" s="4">
        <f t="shared" si="18"/>
        <v>4.2618591665825791</v>
      </c>
      <c r="D257" s="4">
        <f t="shared" si="16"/>
        <v>186.61085669562027</v>
      </c>
      <c r="E257" s="4">
        <f t="shared" si="19"/>
        <v>185.17175806659645</v>
      </c>
    </row>
    <row r="258" spans="1:5" x14ac:dyDescent="0.4">
      <c r="A258">
        <v>90</v>
      </c>
      <c r="B258" s="4">
        <f t="shared" si="17"/>
        <v>2.7203680336753693</v>
      </c>
      <c r="C258" s="4">
        <f t="shared" si="18"/>
        <v>4.253559760059515</v>
      </c>
      <c r="D258" s="4">
        <f t="shared" si="16"/>
        <v>186.60617730736581</v>
      </c>
      <c r="E258" s="4">
        <f t="shared" si="19"/>
        <v>185.16988113240774</v>
      </c>
    </row>
    <row r="259" spans="1:5" x14ac:dyDescent="0.4">
      <c r="A259">
        <v>90.25</v>
      </c>
      <c r="B259" s="4">
        <f t="shared" si="17"/>
        <v>2.7188256594483393</v>
      </c>
      <c r="C259" s="4">
        <f t="shared" si="18"/>
        <v>4.2453009342442405</v>
      </c>
      <c r="D259" s="4">
        <f t="shared" si="16"/>
        <v>186.60141204924085</v>
      </c>
      <c r="E259" s="4">
        <f t="shared" si="19"/>
        <v>185.16790462549289</v>
      </c>
    </row>
    <row r="260" spans="1:5" x14ac:dyDescent="0.4">
      <c r="A260">
        <v>90.5</v>
      </c>
      <c r="B260" s="4">
        <f t="shared" si="17"/>
        <v>2.7172874892341139</v>
      </c>
      <c r="C260" s="4">
        <f t="shared" si="18"/>
        <v>4.2370823790887906</v>
      </c>
      <c r="D260" s="4">
        <f t="shared" si="16"/>
        <v>186.59656180698227</v>
      </c>
      <c r="E260" s="4">
        <f t="shared" si="19"/>
        <v>185.16582953628242</v>
      </c>
    </row>
    <row r="261" spans="1:5" x14ac:dyDescent="0.4">
      <c r="A261">
        <v>90.75</v>
      </c>
      <c r="B261" s="4">
        <f t="shared" si="17"/>
        <v>2.7157534994820209</v>
      </c>
      <c r="C261" s="4">
        <f t="shared" si="18"/>
        <v>4.2289037877649944</v>
      </c>
      <c r="D261" s="4">
        <f t="shared" si="16"/>
        <v>186.59162745602166</v>
      </c>
      <c r="E261" s="4">
        <f t="shared" si="19"/>
        <v>185.16365684381435</v>
      </c>
    </row>
    <row r="262" spans="1:5" x14ac:dyDescent="0.4">
      <c r="A262">
        <v>91</v>
      </c>
      <c r="B262" s="4">
        <f t="shared" si="17"/>
        <v>2.7142236668381932</v>
      </c>
      <c r="C262" s="4">
        <f t="shared" si="18"/>
        <v>4.2207648566222957</v>
      </c>
      <c r="D262" s="4">
        <f t="shared" si="16"/>
        <v>186.58660986162883</v>
      </c>
      <c r="E262" s="4">
        <f t="shared" si="19"/>
        <v>185.16138751589193</v>
      </c>
    </row>
    <row r="263" spans="1:5" x14ac:dyDescent="0.4">
      <c r="A263">
        <v>91.25</v>
      </c>
      <c r="B263" s="4">
        <f t="shared" si="17"/>
        <v>2.7126979681433814</v>
      </c>
      <c r="C263" s="4">
        <f t="shared" si="18"/>
        <v>4.2126652851461852</v>
      </c>
      <c r="D263" s="4">
        <f t="shared" si="16"/>
        <v>186.58150987905304</v>
      </c>
      <c r="E263" s="4">
        <f t="shared" si="19"/>
        <v>185.15902250923895</v>
      </c>
    </row>
    <row r="264" spans="1:5" x14ac:dyDescent="0.4">
      <c r="A264">
        <v>91.5</v>
      </c>
      <c r="B264" s="4">
        <f t="shared" si="17"/>
        <v>2.711176380430802</v>
      </c>
      <c r="C264" s="4">
        <f t="shared" si="18"/>
        <v>4.2046047759173035</v>
      </c>
      <c r="D264" s="4">
        <f t="shared" si="16"/>
        <v>186.57632835366192</v>
      </c>
      <c r="E264" s="4">
        <f t="shared" si="19"/>
        <v>185.15656276965237</v>
      </c>
    </row>
    <row r="265" spans="1:5" x14ac:dyDescent="0.4">
      <c r="A265">
        <v>91.75</v>
      </c>
      <c r="B265" s="4">
        <f t="shared" si="17"/>
        <v>2.7096588809240174</v>
      </c>
      <c r="C265" s="4">
        <f t="shared" si="18"/>
        <v>4.1965830345712112</v>
      </c>
      <c r="D265" s="4">
        <f t="shared" si="16"/>
        <v>186.57106612107802</v>
      </c>
      <c r="E265" s="4">
        <f t="shared" si="19"/>
        <v>185.15400923215256</v>
      </c>
    </row>
    <row r="266" spans="1:5" x14ac:dyDescent="0.4">
      <c r="A266">
        <v>92</v>
      </c>
      <c r="B266" s="4">
        <f t="shared" si="17"/>
        <v>2.7081454470348381</v>
      </c>
      <c r="C266" s="4">
        <f t="shared" si="18"/>
        <v>4.18859976975875</v>
      </c>
      <c r="D266" s="4">
        <f t="shared" si="16"/>
        <v>186.56572400731329</v>
      </c>
      <c r="E266" s="4">
        <f t="shared" si="19"/>
        <v>185.15136282113104</v>
      </c>
    </row>
    <row r="267" spans="1:5" x14ac:dyDescent="0.4">
      <c r="A267">
        <v>92.25</v>
      </c>
      <c r="B267" s="4">
        <f t="shared" si="17"/>
        <v>2.7066360563612601</v>
      </c>
      <c r="C267" s="4">
        <f t="shared" si="18"/>
        <v>4.1806546931070665</v>
      </c>
      <c r="D267" s="4">
        <f t="shared" si="16"/>
        <v>186.56030282890117</v>
      </c>
      <c r="E267" s="4">
        <f t="shared" si="19"/>
        <v>185.14862445049602</v>
      </c>
    </row>
    <row r="268" spans="1:5" x14ac:dyDescent="0.4">
      <c r="A268">
        <v>92.5</v>
      </c>
      <c r="B268" s="4">
        <f t="shared" si="17"/>
        <v>2.7051306866854294</v>
      </c>
      <c r="C268" s="4">
        <f t="shared" si="18"/>
        <v>4.1727475191812253</v>
      </c>
      <c r="D268" s="4">
        <f t="shared" si="16"/>
        <v>186.55480339302684</v>
      </c>
      <c r="E268" s="4">
        <f t="shared" si="19"/>
        <v>185.14579502381517</v>
      </c>
    </row>
    <row r="269" spans="1:5" x14ac:dyDescent="0.4">
      <c r="A269">
        <v>92.75</v>
      </c>
      <c r="B269" s="4">
        <f t="shared" si="17"/>
        <v>2.7036293159716287</v>
      </c>
      <c r="C269" s="4">
        <f t="shared" si="18"/>
        <v>4.164877965446391</v>
      </c>
      <c r="D269" s="4">
        <f t="shared" si="16"/>
        <v>186.54922649765501</v>
      </c>
      <c r="E269" s="4">
        <f t="shared" si="19"/>
        <v>185.14287543445658</v>
      </c>
    </row>
    <row r="270" spans="1:5" x14ac:dyDescent="0.4">
      <c r="A270">
        <v>93</v>
      </c>
      <c r="B270" s="4">
        <f t="shared" si="17"/>
        <v>2.7021319223642988</v>
      </c>
      <c r="C270" s="4">
        <f t="shared" si="18"/>
        <v>4.1570457522306654</v>
      </c>
      <c r="D270" s="4">
        <f t="shared" si="16"/>
        <v>186.54357293165589</v>
      </c>
      <c r="E270" s="4">
        <f t="shared" si="19"/>
        <v>185.13986656572698</v>
      </c>
    </row>
    <row r="271" spans="1:5" x14ac:dyDescent="0.4">
      <c r="A271">
        <v>93.25</v>
      </c>
      <c r="B271" s="4">
        <f t="shared" si="17"/>
        <v>2.7006384841860829</v>
      </c>
      <c r="C271" s="4">
        <f t="shared" si="18"/>
        <v>4.1492506026884231</v>
      </c>
      <c r="D271" s="4">
        <f t="shared" ref="D271:D318" si="20">$B$6*$B$12/9.81*($B$9*SQRT(2/($B$9-1)*(2/($B$9+1))^(($B$9+1)/($B$9-1))*(1 - (A271/$B$3)^(($B$9-1)/$B$9))) + C271/$B$3*(A271 - $E$5))</f>
        <v>186.53784347492908</v>
      </c>
      <c r="E271" s="4">
        <f t="shared" si="19"/>
        <v>185.13676929100825</v>
      </c>
    </row>
    <row r="272" spans="1:5" x14ac:dyDescent="0.4">
      <c r="A272">
        <v>93.5</v>
      </c>
      <c r="B272" s="4">
        <f t="shared" ref="B272:B318" si="21">SQRT(2/($B$9-1)*((A272/$B$3)^((1-$B$9)/$B$9) - 1))</f>
        <v>2.699148979935897</v>
      </c>
      <c r="C272" s="4">
        <f t="shared" ref="C272:C318" si="22">1/B272*(2/($B$9+1)*(1 + ($B$9-1)/2*B272^2))^(($B$9+1)/(2*$B$9-2))</f>
        <v>4.1414922427642642</v>
      </c>
      <c r="D272" s="4">
        <f t="shared" si="20"/>
        <v>186.5320388985254</v>
      </c>
      <c r="E272" s="4">
        <f t="shared" ref="E272:E318" si="23">$B$6*$B$12/9.81*($B$9*SQRT(2/($B$9-1)*(2/($B$9+1))^(($B$9+1)/($B$9-1))*(1 - (A272/$B$3)^(($B$9-1)/$B$9))) + C272/$B$3*(A272 - $E$4))</f>
        <v>185.13358447389129</v>
      </c>
    </row>
    <row r="273" spans="1:5" x14ac:dyDescent="0.4">
      <c r="A273">
        <v>93.75</v>
      </c>
      <c r="B273" s="4">
        <f t="shared" si="21"/>
        <v>2.6976633882870309</v>
      </c>
      <c r="C273" s="4">
        <f t="shared" si="22"/>
        <v>4.1337704011575243</v>
      </c>
      <c r="D273" s="4">
        <f t="shared" si="20"/>
        <v>186.52615996476695</v>
      </c>
      <c r="E273" s="4">
        <f t="shared" si="23"/>
        <v>185.13031296830806</v>
      </c>
    </row>
    <row r="274" spans="1:5" x14ac:dyDescent="0.4">
      <c r="A274">
        <v>94</v>
      </c>
      <c r="B274" s="4">
        <f t="shared" si="21"/>
        <v>2.696181688085264</v>
      </c>
      <c r="C274" s="4">
        <f t="shared" si="22"/>
        <v>4.126084809287268</v>
      </c>
      <c r="D274" s="4">
        <f t="shared" si="20"/>
        <v>186.5202074273648</v>
      </c>
      <c r="E274" s="4">
        <f t="shared" si="23"/>
        <v>185.12695561866116</v>
      </c>
    </row>
    <row r="275" spans="1:5" x14ac:dyDescent="0.4">
      <c r="A275">
        <v>94.25</v>
      </c>
      <c r="B275" s="4">
        <f t="shared" si="21"/>
        <v>2.6947038583470229</v>
      </c>
      <c r="C275" s="4">
        <f t="shared" si="22"/>
        <v>4.1184352012579231</v>
      </c>
      <c r="D275" s="4">
        <f t="shared" si="20"/>
        <v>186.51418203153563</v>
      </c>
      <c r="E275" s="4">
        <f t="shared" si="23"/>
        <v>185.12351325995203</v>
      </c>
    </row>
    <row r="276" spans="1:5" x14ac:dyDescent="0.4">
      <c r="A276">
        <v>94.5</v>
      </c>
      <c r="B276" s="4">
        <f t="shared" si="21"/>
        <v>2.6932298782575455</v>
      </c>
      <c r="C276" s="4">
        <f t="shared" si="22"/>
        <v>4.1108213138253236</v>
      </c>
      <c r="D276" s="4">
        <f t="shared" si="20"/>
        <v>186.50808451411552</v>
      </c>
      <c r="E276" s="4">
        <f t="shared" si="23"/>
        <v>185.11998671790616</v>
      </c>
    </row>
    <row r="277" spans="1:5" x14ac:dyDescent="0.4">
      <c r="A277">
        <v>94.75</v>
      </c>
      <c r="B277" s="4">
        <f t="shared" si="21"/>
        <v>2.6917597271690834</v>
      </c>
      <c r="C277" s="4">
        <f t="shared" si="22"/>
        <v>4.1032428863633568</v>
      </c>
      <c r="D277" s="4">
        <f t="shared" si="20"/>
        <v>186.50191560367281</v>
      </c>
      <c r="E277" s="4">
        <f t="shared" si="23"/>
        <v>185.11637680909737</v>
      </c>
    </row>
    <row r="278" spans="1:5" x14ac:dyDescent="0.4">
      <c r="A278">
        <v>95</v>
      </c>
      <c r="B278" s="4">
        <f t="shared" si="21"/>
        <v>2.6902933845991219</v>
      </c>
      <c r="C278" s="4">
        <f t="shared" si="22"/>
        <v>4.0956996608310892</v>
      </c>
      <c r="D278" s="4">
        <f t="shared" si="20"/>
        <v>186.49567602061856</v>
      </c>
      <c r="E278" s="4">
        <f t="shared" si="23"/>
        <v>185.1126843410691</v>
      </c>
    </row>
    <row r="279" spans="1:5" x14ac:dyDescent="0.4">
      <c r="A279">
        <v>95.25</v>
      </c>
      <c r="B279" s="4">
        <f t="shared" si="21"/>
        <v>2.6888308302286235</v>
      </c>
      <c r="C279" s="4">
        <f t="shared" si="22"/>
        <v>4.0881913817403603</v>
      </c>
      <c r="D279" s="4">
        <f t="shared" si="20"/>
        <v>186.48936647731554</v>
      </c>
      <c r="E279" s="4">
        <f t="shared" si="23"/>
        <v>185.10891011245468</v>
      </c>
    </row>
    <row r="280" spans="1:5" x14ac:dyDescent="0.4">
      <c r="A280">
        <v>95.5</v>
      </c>
      <c r="B280" s="4">
        <f t="shared" si="21"/>
        <v>2.6873720439002993</v>
      </c>
      <c r="C280" s="4">
        <f t="shared" si="22"/>
        <v>4.0807177961239347</v>
      </c>
      <c r="D280" s="4">
        <f t="shared" si="20"/>
        <v>186.48298767818568</v>
      </c>
      <c r="E280" s="4">
        <f t="shared" si="23"/>
        <v>185.10505491309527</v>
      </c>
    </row>
    <row r="281" spans="1:5" x14ac:dyDescent="0.4">
      <c r="A281">
        <v>95.75</v>
      </c>
      <c r="B281" s="4">
        <f t="shared" si="21"/>
        <v>2.6859170056168944</v>
      </c>
      <c r="C281" s="4">
        <f t="shared" si="22"/>
        <v>4.0732786535040493</v>
      </c>
      <c r="D281" s="4">
        <f t="shared" si="20"/>
        <v>186.47654031981523</v>
      </c>
      <c r="E281" s="4">
        <f t="shared" si="23"/>
        <v>185.10111952415576</v>
      </c>
    </row>
    <row r="282" spans="1:5" x14ac:dyDescent="0.4">
      <c r="A282">
        <v>96</v>
      </c>
      <c r="B282" s="4">
        <f t="shared" si="21"/>
        <v>2.6844656955395063</v>
      </c>
      <c r="C282" s="4">
        <f t="shared" si="22"/>
        <v>4.0658737058615069</v>
      </c>
      <c r="D282" s="4">
        <f t="shared" si="20"/>
        <v>186.47002509105917</v>
      </c>
      <c r="E282" s="4">
        <f t="shared" si="23"/>
        <v>185.09710471823956</v>
      </c>
    </row>
    <row r="283" spans="1:5" x14ac:dyDescent="0.4">
      <c r="A283">
        <v>96.25</v>
      </c>
      <c r="B283" s="4">
        <f t="shared" si="21"/>
        <v>2.6830180939859178</v>
      </c>
      <c r="C283" s="4">
        <f t="shared" si="22"/>
        <v>4.0585027076052107</v>
      </c>
      <c r="D283" s="4">
        <f t="shared" si="20"/>
        <v>186.46344267314305</v>
      </c>
      <c r="E283" s="4">
        <f t="shared" si="23"/>
        <v>185.09301125950074</v>
      </c>
    </row>
    <row r="284" spans="1:5" x14ac:dyDescent="0.4">
      <c r="A284">
        <v>96.5</v>
      </c>
      <c r="B284" s="4">
        <f t="shared" si="21"/>
        <v>2.6815741814289562</v>
      </c>
      <c r="C284" s="4">
        <f t="shared" si="22"/>
        <v>4.0511654155421128</v>
      </c>
      <c r="D284" s="4">
        <f t="shared" si="20"/>
        <v>186.45679373976387</v>
      </c>
      <c r="E284" s="4">
        <f t="shared" si="23"/>
        <v>185.0888399037552</v>
      </c>
    </row>
    <row r="285" spans="1:5" x14ac:dyDescent="0.4">
      <c r="A285">
        <v>96.75</v>
      </c>
      <c r="B285" s="4">
        <f t="shared" si="21"/>
        <v>2.6801339384948677</v>
      </c>
      <c r="C285" s="4">
        <f t="shared" si="22"/>
        <v>4.0438615888476779</v>
      </c>
      <c r="D285" s="4">
        <f t="shared" si="20"/>
        <v>186.45007895718922</v>
      </c>
      <c r="E285" s="4">
        <f t="shared" si="23"/>
        <v>185.08459139858945</v>
      </c>
    </row>
    <row r="286" spans="1:5" x14ac:dyDescent="0.4">
      <c r="A286">
        <v>97</v>
      </c>
      <c r="B286" s="4">
        <f t="shared" si="21"/>
        <v>2.6786973459617234</v>
      </c>
      <c r="C286" s="4">
        <f t="shared" si="22"/>
        <v>4.0365909890367488</v>
      </c>
      <c r="D286" s="4">
        <f t="shared" si="20"/>
        <v>186.44329898435481</v>
      </c>
      <c r="E286" s="4">
        <f t="shared" si="23"/>
        <v>185.08026648346839</v>
      </c>
    </row>
    <row r="287" spans="1:5" x14ac:dyDescent="0.4">
      <c r="A287">
        <v>97.25</v>
      </c>
      <c r="B287" s="4">
        <f t="shared" si="21"/>
        <v>2.6772643847578341</v>
      </c>
      <c r="C287" s="4">
        <f t="shared" si="22"/>
        <v>4.029353379934828</v>
      </c>
      <c r="D287" s="4">
        <f t="shared" si="20"/>
        <v>186.43645447296063</v>
      </c>
      <c r="E287" s="4">
        <f t="shared" si="23"/>
        <v>185.07586588984086</v>
      </c>
    </row>
    <row r="288" spans="1:5" x14ac:dyDescent="0.4">
      <c r="A288">
        <v>97.5</v>
      </c>
      <c r="B288" s="4">
        <f t="shared" si="21"/>
        <v>2.675835035960195</v>
      </c>
      <c r="C288" s="4">
        <f t="shared" si="22"/>
        <v>4.0221485276498425</v>
      </c>
      <c r="D288" s="4">
        <f t="shared" si="20"/>
        <v>186.4295460675655</v>
      </c>
      <c r="E288" s="4">
        <f t="shared" si="23"/>
        <v>185.07139034124373</v>
      </c>
    </row>
    <row r="289" spans="1:5" x14ac:dyDescent="0.4">
      <c r="A289">
        <v>97.75</v>
      </c>
      <c r="B289" s="4">
        <f t="shared" si="21"/>
        <v>2.6744092807929456</v>
      </c>
      <c r="C289" s="4">
        <f t="shared" si="22"/>
        <v>4.0149762005442646</v>
      </c>
      <c r="D289" s="4">
        <f t="shared" si="20"/>
        <v>186.42257440568008</v>
      </c>
      <c r="E289" s="4">
        <f t="shared" si="23"/>
        <v>185.06684055340463</v>
      </c>
    </row>
    <row r="290" spans="1:5" x14ac:dyDescent="0.4">
      <c r="A290">
        <v>98</v>
      </c>
      <c r="B290" s="4">
        <f t="shared" si="21"/>
        <v>2.6729871006258503</v>
      </c>
      <c r="C290" s="4">
        <f t="shared" si="22"/>
        <v>4.0078361692076712</v>
      </c>
      <c r="D290" s="4">
        <f t="shared" si="20"/>
        <v>186.41554011785885</v>
      </c>
      <c r="E290" s="4">
        <f t="shared" si="23"/>
        <v>185.06221723434282</v>
      </c>
    </row>
    <row r="291" spans="1:5" x14ac:dyDescent="0.4">
      <c r="A291">
        <v>98.25</v>
      </c>
      <c r="B291" s="4">
        <f t="shared" si="21"/>
        <v>2.6715684769728005</v>
      </c>
      <c r="C291" s="4">
        <f t="shared" si="22"/>
        <v>4.0007282064297156</v>
      </c>
      <c r="D291" s="4">
        <f t="shared" si="20"/>
        <v>186.40844382779028</v>
      </c>
      <c r="E291" s="4">
        <f t="shared" si="23"/>
        <v>185.0575210844687</v>
      </c>
    </row>
    <row r="292" spans="1:5" x14ac:dyDescent="0.4">
      <c r="A292">
        <v>98.5</v>
      </c>
      <c r="B292" s="4">
        <f t="shared" si="21"/>
        <v>2.6701533914903317</v>
      </c>
      <c r="C292" s="4">
        <f t="shared" si="22"/>
        <v>3.9936520871734666</v>
      </c>
      <c r="D292" s="4">
        <f t="shared" si="20"/>
        <v>186.40128615238567</v>
      </c>
      <c r="E292" s="4">
        <f t="shared" si="23"/>
        <v>185.05275279668166</v>
      </c>
    </row>
    <row r="293" spans="1:5" x14ac:dyDescent="0.4">
      <c r="A293">
        <v>98.75</v>
      </c>
      <c r="B293" s="4">
        <f t="shared" si="21"/>
        <v>2.6687418259761655</v>
      </c>
      <c r="C293" s="4">
        <f t="shared" si="22"/>
        <v>3.9866075885491705</v>
      </c>
      <c r="D293" s="4">
        <f t="shared" si="20"/>
        <v>186.39406770186676</v>
      </c>
      <c r="E293" s="4">
        <f t="shared" si="23"/>
        <v>185.04791305646646</v>
      </c>
    </row>
    <row r="294" spans="1:5" x14ac:dyDescent="0.4">
      <c r="A294">
        <v>99</v>
      </c>
      <c r="B294" s="4">
        <f t="shared" si="21"/>
        <v>2.6673337623677629</v>
      </c>
      <c r="C294" s="4">
        <f t="shared" si="22"/>
        <v>3.9795944897883611</v>
      </c>
      <c r="D294" s="4">
        <f t="shared" si="20"/>
        <v>186.38678907985229</v>
      </c>
      <c r="E294" s="4">
        <f t="shared" si="23"/>
        <v>185.04300254198847</v>
      </c>
    </row>
    <row r="295" spans="1:5" x14ac:dyDescent="0.4">
      <c r="A295">
        <v>99.25</v>
      </c>
      <c r="B295" s="4">
        <f t="shared" si="21"/>
        <v>2.6659291827409044</v>
      </c>
      <c r="C295" s="4">
        <f t="shared" si="22"/>
        <v>3.9726125722183911</v>
      </c>
      <c r="D295" s="4">
        <f t="shared" si="20"/>
        <v>186.3794508834423</v>
      </c>
      <c r="E295" s="4">
        <f t="shared" si="23"/>
        <v>185.03802192418684</v>
      </c>
    </row>
    <row r="296" spans="1:5" x14ac:dyDescent="0.4">
      <c r="A296">
        <v>99.5</v>
      </c>
      <c r="B296" s="4">
        <f t="shared" si="21"/>
        <v>2.6645280693082807</v>
      </c>
      <c r="C296" s="4">
        <f t="shared" si="22"/>
        <v>3.9656616192372809</v>
      </c>
      <c r="D296" s="4">
        <f t="shared" si="20"/>
        <v>186.37205370330256</v>
      </c>
      <c r="E296" s="4">
        <f t="shared" si="23"/>
        <v>185.03297186686706</v>
      </c>
    </row>
    <row r="297" spans="1:5" x14ac:dyDescent="0.4">
      <c r="A297">
        <v>99.75</v>
      </c>
      <c r="B297" s="4">
        <f t="shared" si="21"/>
        <v>2.663130404418105</v>
      </c>
      <c r="C297" s="4">
        <f t="shared" si="22"/>
        <v>3.9587414162889609</v>
      </c>
      <c r="D297" s="4">
        <f t="shared" si="20"/>
        <v>186.36459812374613</v>
      </c>
      <c r="E297" s="4">
        <f t="shared" si="23"/>
        <v>185.02785302679129</v>
      </c>
    </row>
    <row r="298" spans="1:5" x14ac:dyDescent="0.4">
      <c r="A298">
        <v>100</v>
      </c>
      <c r="B298" s="4">
        <f t="shared" si="21"/>
        <v>2.661736170552742</v>
      </c>
      <c r="C298" s="4">
        <f t="shared" si="22"/>
        <v>3.951851750838876</v>
      </c>
      <c r="D298" s="4">
        <f t="shared" si="20"/>
        <v>186.35708472281522</v>
      </c>
      <c r="E298" s="4">
        <f t="shared" si="23"/>
        <v>185.02266605376806</v>
      </c>
    </row>
    <row r="299" spans="1:5" x14ac:dyDescent="0.4">
      <c r="A299">
        <v>100.25</v>
      </c>
      <c r="B299" s="4">
        <f t="shared" si="21"/>
        <v>2.660345350327356</v>
      </c>
      <c r="C299" s="4">
        <f t="shared" si="22"/>
        <v>3.9449924123499325</v>
      </c>
      <c r="D299" s="4">
        <f t="shared" si="20"/>
        <v>186.34951407236062</v>
      </c>
      <c r="E299" s="4">
        <f t="shared" si="23"/>
        <v>185.01741159074004</v>
      </c>
    </row>
    <row r="300" spans="1:5" x14ac:dyDescent="0.4">
      <c r="A300">
        <v>100.5</v>
      </c>
      <c r="B300" s="4">
        <f t="shared" si="21"/>
        <v>2.6589579264885708</v>
      </c>
      <c r="C300" s="4">
        <f t="shared" si="22"/>
        <v>3.9381631922587741</v>
      </c>
      <c r="D300" s="4">
        <f t="shared" si="20"/>
        <v>186.34188673812091</v>
      </c>
      <c r="E300" s="4">
        <f t="shared" si="23"/>
        <v>185.01209027387122</v>
      </c>
    </row>
    <row r="301" spans="1:5" x14ac:dyDescent="0.4">
      <c r="A301">
        <v>100.75</v>
      </c>
      <c r="B301" s="4">
        <f t="shared" si="21"/>
        <v>2.6575738819131516</v>
      </c>
      <c r="C301" s="4">
        <f t="shared" si="22"/>
        <v>3.9313638839524354</v>
      </c>
      <c r="D301" s="4">
        <f t="shared" si="20"/>
        <v>186.33420327979934</v>
      </c>
      <c r="E301" s="4">
        <f t="shared" si="23"/>
        <v>185.00670273263171</v>
      </c>
    </row>
    <row r="302" spans="1:5" x14ac:dyDescent="0.4">
      <c r="A302">
        <v>101</v>
      </c>
      <c r="B302" s="4">
        <f t="shared" si="21"/>
        <v>2.6561931996067045</v>
      </c>
      <c r="C302" s="4">
        <f t="shared" si="22"/>
        <v>3.9245942827452933</v>
      </c>
      <c r="D302" s="4">
        <f t="shared" si="20"/>
        <v>186.32646425114095</v>
      </c>
      <c r="E302" s="4">
        <f t="shared" si="23"/>
        <v>185.0012495898826</v>
      </c>
    </row>
    <row r="303" spans="1:5" x14ac:dyDescent="0.4">
      <c r="A303">
        <v>101.25</v>
      </c>
      <c r="B303" s="4">
        <f t="shared" si="21"/>
        <v>2.654815862702383</v>
      </c>
      <c r="C303" s="4">
        <f t="shared" si="22"/>
        <v>3.9178541858563602</v>
      </c>
      <c r="D303" s="4">
        <f t="shared" si="20"/>
        <v>186.31867020000729</v>
      </c>
      <c r="E303" s="4">
        <f t="shared" si="23"/>
        <v>184.99573146195831</v>
      </c>
    </row>
    <row r="304" spans="1:5" x14ac:dyDescent="0.4">
      <c r="A304">
        <v>101.5</v>
      </c>
      <c r="B304" s="4">
        <f t="shared" si="21"/>
        <v>2.6534418544596234</v>
      </c>
      <c r="C304" s="4">
        <f t="shared" si="22"/>
        <v>3.9111433923869097</v>
      </c>
      <c r="D304" s="4">
        <f t="shared" si="20"/>
        <v>186.31082166845087</v>
      </c>
      <c r="E304" s="4">
        <f t="shared" si="23"/>
        <v>184.9901489587487</v>
      </c>
    </row>
    <row r="305" spans="1:5" x14ac:dyDescent="0.4">
      <c r="A305">
        <v>101.75</v>
      </c>
      <c r="B305" s="4">
        <f t="shared" si="21"/>
        <v>2.6520711582628849</v>
      </c>
      <c r="C305" s="4">
        <f t="shared" si="22"/>
        <v>3.9044617032984141</v>
      </c>
      <c r="D305" s="4">
        <f t="shared" si="20"/>
        <v>186.3029191927881</v>
      </c>
      <c r="E305" s="4">
        <f t="shared" si="23"/>
        <v>184.98450268377931</v>
      </c>
    </row>
    <row r="306" spans="1:5" x14ac:dyDescent="0.4">
      <c r="A306">
        <v>102</v>
      </c>
      <c r="B306" s="4">
        <f t="shared" si="21"/>
        <v>2.6507037576204118</v>
      </c>
      <c r="C306" s="4">
        <f t="shared" si="22"/>
        <v>3.8978089213907654</v>
      </c>
      <c r="D306" s="4">
        <f t="shared" si="20"/>
        <v>186.29496330367118</v>
      </c>
      <c r="E306" s="4">
        <f t="shared" si="23"/>
        <v>184.97879323429083</v>
      </c>
    </row>
    <row r="307" spans="1:5" x14ac:dyDescent="0.4">
      <c r="A307">
        <v>102.25</v>
      </c>
      <c r="B307" s="4">
        <f t="shared" si="21"/>
        <v>2.6493396361630088</v>
      </c>
      <c r="C307" s="4">
        <f t="shared" si="22"/>
        <v>3.8911848512808684</v>
      </c>
      <c r="D307" s="4">
        <f t="shared" si="20"/>
        <v>186.28695452615912</v>
      </c>
      <c r="E307" s="4">
        <f t="shared" si="23"/>
        <v>184.97302120131707</v>
      </c>
    </row>
    <row r="308" spans="1:5" x14ac:dyDescent="0.4">
      <c r="A308">
        <v>102.5</v>
      </c>
      <c r="B308" s="4">
        <f t="shared" si="21"/>
        <v>2.6479787776428321</v>
      </c>
      <c r="C308" s="4">
        <f t="shared" si="22"/>
        <v>3.8845892993814601</v>
      </c>
      <c r="D308" s="4">
        <f t="shared" si="20"/>
        <v>186.27889337978766</v>
      </c>
      <c r="E308" s="4">
        <f t="shared" si="23"/>
        <v>184.96718716976213</v>
      </c>
    </row>
    <row r="309" spans="1:5" x14ac:dyDescent="0.4">
      <c r="A309">
        <v>102.75</v>
      </c>
      <c r="B309" s="4">
        <f t="shared" si="21"/>
        <v>2.6466211659321921</v>
      </c>
      <c r="C309" s="4">
        <f t="shared" si="22"/>
        <v>3.8780220738802833</v>
      </c>
      <c r="D309" s="4">
        <f t="shared" si="20"/>
        <v>186.27078037863777</v>
      </c>
      <c r="E309" s="4">
        <f t="shared" si="23"/>
        <v>184.96129171847625</v>
      </c>
    </row>
    <row r="310" spans="1:5" x14ac:dyDescent="0.4">
      <c r="A310">
        <v>103</v>
      </c>
      <c r="B310" s="4">
        <f t="shared" si="21"/>
        <v>2.6452667850223777</v>
      </c>
      <c r="C310" s="4">
        <f t="shared" si="22"/>
        <v>3.871482984719524</v>
      </c>
      <c r="D310" s="4">
        <f t="shared" si="20"/>
        <v>186.26261603140392</v>
      </c>
      <c r="E310" s="4">
        <f t="shared" si="23"/>
        <v>184.95533542033053</v>
      </c>
    </row>
    <row r="311" spans="1:5" x14ac:dyDescent="0.4">
      <c r="A311">
        <v>103.25</v>
      </c>
      <c r="B311" s="4">
        <f t="shared" si="21"/>
        <v>2.6439156190224882</v>
      </c>
      <c r="C311" s="4">
        <f t="shared" si="22"/>
        <v>3.8649718435755553</v>
      </c>
      <c r="D311" s="4">
        <f t="shared" si="20"/>
        <v>186.25440084146064</v>
      </c>
      <c r="E311" s="4">
        <f t="shared" si="23"/>
        <v>184.9493188422905</v>
      </c>
    </row>
    <row r="312" spans="1:5" x14ac:dyDescent="0.4">
      <c r="A312">
        <v>103.5</v>
      </c>
      <c r="B312" s="4">
        <f t="shared" si="21"/>
        <v>2.6425676521582804</v>
      </c>
      <c r="C312" s="4">
        <f t="shared" si="22"/>
        <v>3.8584884638389245</v>
      </c>
      <c r="D312" s="4">
        <f t="shared" si="20"/>
        <v>186.24613530692841</v>
      </c>
      <c r="E312" s="4">
        <f t="shared" si="23"/>
        <v>184.94324254548897</v>
      </c>
    </row>
    <row r="313" spans="1:5" x14ac:dyDescent="0.4">
      <c r="A313">
        <v>103.75</v>
      </c>
      <c r="B313" s="4">
        <f t="shared" si="21"/>
        <v>2.6412228687710377</v>
      </c>
      <c r="C313" s="4">
        <f t="shared" si="22"/>
        <v>3.8520326605946833</v>
      </c>
      <c r="D313" s="4">
        <f t="shared" si="20"/>
        <v>186.23781992073867</v>
      </c>
      <c r="E313" s="4">
        <f t="shared" si="23"/>
        <v>184.93710708529744</v>
      </c>
    </row>
    <row r="314" spans="1:5" x14ac:dyDescent="0.4">
      <c r="A314">
        <v>104</v>
      </c>
      <c r="B314" s="4">
        <f t="shared" si="21"/>
        <v>2.6398812533164375</v>
      </c>
      <c r="C314" s="4">
        <f t="shared" si="22"/>
        <v>3.8456042506029142</v>
      </c>
      <c r="D314" s="4">
        <f t="shared" si="20"/>
        <v>186.22945517069755</v>
      </c>
      <c r="E314" s="4">
        <f t="shared" si="23"/>
        <v>184.93091301139657</v>
      </c>
    </row>
    <row r="315" spans="1:5" x14ac:dyDescent="0.4">
      <c r="A315">
        <v>104.25</v>
      </c>
      <c r="B315" s="4">
        <f t="shared" si="21"/>
        <v>2.6385427903634513</v>
      </c>
      <c r="C315" s="4">
        <f t="shared" si="22"/>
        <v>3.8392030522796143</v>
      </c>
      <c r="D315" s="4">
        <f t="shared" si="20"/>
        <v>186.22104153954939</v>
      </c>
      <c r="E315" s="4">
        <f t="shared" si="23"/>
        <v>184.92466086784597</v>
      </c>
    </row>
    <row r="316" spans="1:5" x14ac:dyDescent="0.4">
      <c r="A316">
        <v>104.5</v>
      </c>
      <c r="B316" s="4">
        <f t="shared" si="21"/>
        <v>2.6372074645932391</v>
      </c>
      <c r="C316" s="4">
        <f t="shared" si="22"/>
        <v>3.8328288856777326</v>
      </c>
      <c r="D316" s="4">
        <f t="shared" si="20"/>
        <v>186.21257950503821</v>
      </c>
      <c r="E316" s="4">
        <f t="shared" si="23"/>
        <v>184.91835119315232</v>
      </c>
    </row>
    <row r="317" spans="1:5" x14ac:dyDescent="0.4">
      <c r="A317">
        <v>104.75</v>
      </c>
      <c r="B317" s="4">
        <f t="shared" si="21"/>
        <v>2.6358752607980716</v>
      </c>
      <c r="C317" s="4">
        <f t="shared" si="22"/>
        <v>3.8264815724686003</v>
      </c>
      <c r="D317" s="4">
        <f t="shared" si="20"/>
        <v>186.20406953996951</v>
      </c>
      <c r="E317" s="4">
        <f t="shared" si="23"/>
        <v>184.91198452033706</v>
      </c>
    </row>
    <row r="318" spans="1:5" x14ac:dyDescent="0.4">
      <c r="A318">
        <v>105</v>
      </c>
      <c r="B318" s="4">
        <f t="shared" si="21"/>
        <v>2.6345461638802594</v>
      </c>
      <c r="C318" s="4">
        <f t="shared" si="22"/>
        <v>3.8201609359234765</v>
      </c>
      <c r="D318" s="4">
        <f t="shared" si="20"/>
        <v>186.19551211227025</v>
      </c>
      <c r="E318" s="4">
        <f t="shared" si="23"/>
        <v>184.90556137700321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318"/>
  <sheetViews>
    <sheetView zoomScaleNormal="100" workbookViewId="0">
      <selection activeCell="B12" sqref="B12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6" x14ac:dyDescent="0.4">
      <c r="A1" t="s">
        <v>0</v>
      </c>
      <c r="B1" s="13">
        <f>CONVERT(23000, "ft", "m")</f>
        <v>7010.4</v>
      </c>
      <c r="C1" t="str">
        <f>"---&gt;"</f>
        <v>---&gt;</v>
      </c>
      <c r="D1" s="1" t="s">
        <v>1</v>
      </c>
      <c r="E1" s="4">
        <f>SQRT(2*9.81*(B1 - E5)) + E2</f>
        <v>569.59583582065409</v>
      </c>
      <c r="F1" s="26"/>
    </row>
    <row r="2" spans="1:16" ht="17.149999999999999" x14ac:dyDescent="0.55000000000000004">
      <c r="A2" t="s">
        <v>2</v>
      </c>
      <c r="B2" s="13">
        <v>4.5</v>
      </c>
      <c r="D2" t="s">
        <v>111</v>
      </c>
      <c r="E2" s="13">
        <v>233.23774092772598</v>
      </c>
    </row>
    <row r="3" spans="1:16" ht="17.149999999999999" x14ac:dyDescent="0.55000000000000004">
      <c r="A3" t="s">
        <v>3</v>
      </c>
      <c r="B3" s="14">
        <f>CONVERT(350,"psi","kPa")</f>
        <v>2413.165052608927</v>
      </c>
      <c r="D3" t="s">
        <v>4</v>
      </c>
      <c r="E3">
        <v>1401</v>
      </c>
      <c r="F3" s="10" t="s">
        <v>78</v>
      </c>
      <c r="K3">
        <f>CONVERT(700, "psi", "kPa")</f>
        <v>4826.330105217854</v>
      </c>
      <c r="M3" t="s">
        <v>120</v>
      </c>
      <c r="N3">
        <f>B4/O8/(B3*1000)</f>
        <v>1.3614061182623942</v>
      </c>
    </row>
    <row r="4" spans="1:16" ht="17.149999999999999" x14ac:dyDescent="0.55000000000000004">
      <c r="A4" s="1" t="s">
        <v>77</v>
      </c>
      <c r="B4" s="13">
        <v>3500</v>
      </c>
      <c r="D4" t="s">
        <v>6</v>
      </c>
      <c r="E4" s="4">
        <f>101.325*(1 - 0.0065*E3/288.16)^(-9.81/-0.0065/287)</f>
        <v>85.581205816462187</v>
      </c>
      <c r="F4" s="2" t="s">
        <v>7</v>
      </c>
      <c r="N4">
        <f>B4/(PI()/4*CONVERT(1.398, "in", "m")^2*B3*1000)</f>
        <v>1.4645673891614448</v>
      </c>
    </row>
    <row r="5" spans="1:16" ht="17.149999999999999" x14ac:dyDescent="0.55000000000000004">
      <c r="A5" s="1" t="s">
        <v>8</v>
      </c>
      <c r="B5">
        <v>0.9</v>
      </c>
      <c r="D5" s="26" t="s">
        <v>88</v>
      </c>
      <c r="E5" s="13">
        <v>1244</v>
      </c>
    </row>
    <row r="6" spans="1:16" ht="17.149999999999999" x14ac:dyDescent="0.55000000000000004">
      <c r="A6" s="1" t="s">
        <v>11</v>
      </c>
      <c r="B6">
        <v>0.9</v>
      </c>
      <c r="D6" s="1" t="s">
        <v>9</v>
      </c>
      <c r="E6" s="4">
        <f>101.325*(1 - 0.0065*2/3*(E5 + E3)/288.16)^(-9.81/-0.0065/287)</f>
        <v>81.850568004699554</v>
      </c>
      <c r="F6" s="2" t="s">
        <v>81</v>
      </c>
    </row>
    <row r="7" spans="1:16" ht="17.149999999999999" x14ac:dyDescent="0.55000000000000004">
      <c r="A7" s="1" t="s">
        <v>12</v>
      </c>
      <c r="B7">
        <f>19/30</f>
        <v>0.6333333333333333</v>
      </c>
      <c r="M7" t="s">
        <v>83</v>
      </c>
    </row>
    <row r="8" spans="1:16" ht="17.149999999999999" x14ac:dyDescent="0.55000000000000004">
      <c r="H8" t="s">
        <v>118</v>
      </c>
      <c r="M8" t="s">
        <v>84</v>
      </c>
      <c r="N8">
        <f>CONVERT(1.45, "in", "m")</f>
        <v>3.6830000000000002E-2</v>
      </c>
      <c r="O8">
        <f>PI()*N8^2/4</f>
        <v>1.0653524748024891E-3</v>
      </c>
    </row>
    <row r="9" spans="1:16" x14ac:dyDescent="0.4">
      <c r="A9" s="1" t="s">
        <v>13</v>
      </c>
      <c r="B9">
        <v>1.2343</v>
      </c>
      <c r="H9" t="s">
        <v>119</v>
      </c>
      <c r="J9" s="26"/>
      <c r="K9" s="26"/>
      <c r="M9" t="s">
        <v>85</v>
      </c>
      <c r="N9">
        <f>CONVERT(3.275, "in", "m")</f>
        <v>8.3184999999999995E-2</v>
      </c>
      <c r="O9">
        <f>PI()*N9^2/4</f>
        <v>5.4347544054950984E-3</v>
      </c>
    </row>
    <row r="10" spans="1:16" x14ac:dyDescent="0.4">
      <c r="A10" s="1" t="s">
        <v>15</v>
      </c>
      <c r="B10">
        <v>23.103000000000002</v>
      </c>
      <c r="C10" t="str">
        <f>"---&gt;"</f>
        <v>---&gt;</v>
      </c>
      <c r="D10" t="s">
        <v>16</v>
      </c>
      <c r="E10">
        <f>8314/B10</f>
        <v>359.86668398043543</v>
      </c>
      <c r="H10" t="s">
        <v>23</v>
      </c>
      <c r="I10" s="4">
        <f>E240</f>
        <v>185.18741297938851</v>
      </c>
      <c r="M10" s="6"/>
      <c r="N10" t="s">
        <v>86</v>
      </c>
    </row>
    <row r="11" spans="1:16" ht="17.149999999999999" x14ac:dyDescent="0.55000000000000004">
      <c r="A11" s="1" t="s">
        <v>17</v>
      </c>
      <c r="B11">
        <v>2825.98</v>
      </c>
    </row>
    <row r="12" spans="1:16" x14ac:dyDescent="0.4">
      <c r="A12" s="1" t="s">
        <v>18</v>
      </c>
      <c r="B12" s="4">
        <f>B5*SQRT(E10*B11/B9*((B9 + 1)/2)^((B9+1)/(B9-1)))</f>
        <v>1385.4302060307177</v>
      </c>
      <c r="H12" t="s">
        <v>19</v>
      </c>
      <c r="J12" t="s">
        <v>20</v>
      </c>
      <c r="M12" t="s">
        <v>21</v>
      </c>
      <c r="P12" s="10" t="s">
        <v>63</v>
      </c>
    </row>
    <row r="13" spans="1:16" ht="17.149999999999999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s="1" t="s">
        <v>28</v>
      </c>
      <c r="N13" s="4">
        <f>C240</f>
        <v>4.4094748743202601</v>
      </c>
      <c r="O13" t="s">
        <v>64</v>
      </c>
    </row>
    <row r="14" spans="1:16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25</v>
      </c>
      <c r="N14">
        <f>I26*B12/(B3*1000)</f>
        <v>1.1060765811352622E-3</v>
      </c>
      <c r="O14" s="18">
        <f>SQRT(N14/PI())*2</f>
        <v>3.7527329276233964E-2</v>
      </c>
      <c r="P14" s="10" t="s">
        <v>65</v>
      </c>
    </row>
    <row r="15" spans="1:16" ht="17.600000000000001" x14ac:dyDescent="0.55000000000000004">
      <c r="A15">
        <v>29.5</v>
      </c>
      <c r="B15" s="4">
        <f>SQRT(2/($B$9-1)*((A15/$B$3)^((1-$B$9)/$B$9) - 1))</f>
        <v>3.3404367470545555</v>
      </c>
      <c r="C15" s="4">
        <f>1/B15*(2/($B$9+1)*(1 + ($B$9-1)/2*B15^2))^(($B$9+1)/(2*$B$9-2))</f>
        <v>9.5064874290136565</v>
      </c>
      <c r="D15" s="4">
        <f t="shared" ref="D15:D78" si="0">$B$6*$B$12/9.81*($B$9*SQRT(2/($B$9-1)*(2/($B$9+1))^(($B$9+1)/($B$9-1))*(1 - (A15/$B$3)^(($B$9-1)/$B$9))) + C15/$B$3*(A15 - $E$6))</f>
        <v>177.2291733517211</v>
      </c>
      <c r="E15" s="4">
        <f t="shared" ref="E15:E78" si="1">$B$6*$B$12/9.81*($B$9*SQRT(2/($B$9-1)*(2/($B$9+1))^(($B$9+1)/($B$9-1))*(1 - (A15/$B$3)^(($B$9-1)/$B$9))) + C15/$B$3*(A15 - $E$4))</f>
        <v>175.36118444446964</v>
      </c>
      <c r="H15" s="1" t="s">
        <v>33</v>
      </c>
      <c r="I15">
        <f>0.5*B3/E10/B11*1^2</f>
        <v>1.1864414352845897E-3</v>
      </c>
      <c r="J15" s="2" t="s">
        <v>34</v>
      </c>
      <c r="M15" t="s">
        <v>32</v>
      </c>
      <c r="N15">
        <f>N14*N13</f>
        <v>4.877216893589993E-3</v>
      </c>
      <c r="O15" s="18">
        <f>SQRT(N15/PI())*2</f>
        <v>7.8802699301287693E-2</v>
      </c>
      <c r="P15" s="10" t="s">
        <v>66</v>
      </c>
    </row>
    <row r="16" spans="1:16" ht="17.149999999999999" x14ac:dyDescent="0.55000000000000004">
      <c r="A16">
        <v>29.75</v>
      </c>
      <c r="B16" s="4">
        <f t="shared" ref="B16:B79" si="2">SQRT(2/($B$9-1)*((A16/$B$3)^((1-$B$9)/$B$9) - 1))</f>
        <v>3.3357149363902305</v>
      </c>
      <c r="C16" s="4">
        <f t="shared" ref="C16:C79" si="3">1/B16*(2/($B$9+1)*(1 + ($B$9-1)/2*B16^2))^(($B$9+1)/(2*$B$9-2))</f>
        <v>9.4475085928906601</v>
      </c>
      <c r="D16" s="4">
        <f t="shared" si="0"/>
        <v>177.39141153911413</v>
      </c>
      <c r="E16" s="4">
        <f t="shared" si="1"/>
        <v>175.53501175060535</v>
      </c>
      <c r="H16" s="1" t="s">
        <v>36</v>
      </c>
      <c r="I16" s="16">
        <f>B3+I13+I14+I15</f>
        <v>2895.7992495721478</v>
      </c>
      <c r="J16" s="4">
        <f>CONVERT(I16*1000, "Pa", "psi")</f>
        <v>420.00017207878176</v>
      </c>
    </row>
    <row r="17" spans="1:19" x14ac:dyDescent="0.4">
      <c r="A17">
        <v>30</v>
      </c>
      <c r="B17" s="4">
        <f t="shared" si="2"/>
        <v>3.3310335087922911</v>
      </c>
      <c r="C17" s="4">
        <f t="shared" si="3"/>
        <v>9.3894007708211404</v>
      </c>
      <c r="D17" s="4">
        <f t="shared" si="0"/>
        <v>177.55048859628005</v>
      </c>
      <c r="E17" s="4">
        <f t="shared" si="1"/>
        <v>175.70550677553913</v>
      </c>
    </row>
    <row r="18" spans="1:19" x14ac:dyDescent="0.4">
      <c r="A18">
        <v>30.25</v>
      </c>
      <c r="B18" s="4">
        <f t="shared" si="2"/>
        <v>3.3263917787238562</v>
      </c>
      <c r="C18" s="4">
        <f t="shared" si="3"/>
        <v>9.3321439710095646</v>
      </c>
      <c r="D18" s="4">
        <f t="shared" si="0"/>
        <v>177.70648192882024</v>
      </c>
      <c r="E18" s="4">
        <f t="shared" si="1"/>
        <v>175.8727508531849</v>
      </c>
    </row>
    <row r="19" spans="1:19" ht="17.149999999999999" x14ac:dyDescent="0.55000000000000004">
      <c r="A19">
        <v>30.5</v>
      </c>
      <c r="B19" s="4">
        <f t="shared" si="2"/>
        <v>3.3217890778646746</v>
      </c>
      <c r="C19" s="4">
        <f t="shared" si="3"/>
        <v>9.2757188212254587</v>
      </c>
      <c r="D19" s="4">
        <f t="shared" si="0"/>
        <v>177.85946647276296</v>
      </c>
      <c r="E19" s="4">
        <f t="shared" si="1"/>
        <v>176.03682272614094</v>
      </c>
      <c r="H19" t="s">
        <v>37</v>
      </c>
      <c r="K19" t="s">
        <v>38</v>
      </c>
      <c r="L19" s="3" t="s">
        <v>74</v>
      </c>
    </row>
    <row r="20" spans="1:19" ht="17.600000000000001" x14ac:dyDescent="0.55000000000000004">
      <c r="A20">
        <v>30.75</v>
      </c>
      <c r="B20" s="4">
        <f t="shared" si="2"/>
        <v>3.3172247545412712</v>
      </c>
      <c r="C20" s="4">
        <f t="shared" si="3"/>
        <v>9.2201065447076225</v>
      </c>
      <c r="D20" s="4">
        <f t="shared" si="0"/>
        <v>178.0095147922099</v>
      </c>
      <c r="E20" s="4">
        <f t="shared" si="1"/>
        <v>176.19779864807174</v>
      </c>
      <c r="H20" t="s">
        <v>39</v>
      </c>
      <c r="I20" s="14">
        <f>CONVERT(60, "lbm", "kg")</f>
        <v>27.215542200000002</v>
      </c>
      <c r="K20" t="s">
        <v>40</v>
      </c>
      <c r="L20" s="13">
        <v>602.28731707438885</v>
      </c>
      <c r="M20" s="10" t="s">
        <v>41</v>
      </c>
    </row>
    <row r="21" spans="1:19" ht="17.149999999999999" x14ac:dyDescent="0.55000000000000004">
      <c r="A21">
        <v>31</v>
      </c>
      <c r="B21" s="4">
        <f t="shared" si="2"/>
        <v>3.3126981731804221</v>
      </c>
      <c r="C21" s="4">
        <f t="shared" si="3"/>
        <v>9.1652889371927362</v>
      </c>
      <c r="D21" s="4">
        <f t="shared" si="0"/>
        <v>178.15669717237844</v>
      </c>
      <c r="E21" s="4">
        <f t="shared" si="1"/>
        <v>176.35575248126381</v>
      </c>
      <c r="H21" t="s">
        <v>42</v>
      </c>
      <c r="I21" s="4">
        <f>I20*EXP(E1/I10/9.81)</f>
        <v>37.237765013651462</v>
      </c>
      <c r="K21" t="s">
        <v>87</v>
      </c>
      <c r="L21" s="13">
        <v>1</v>
      </c>
    </row>
    <row r="22" spans="1:19" ht="17.600000000000001" x14ac:dyDescent="0.55000000000000004">
      <c r="A22">
        <v>31.25</v>
      </c>
      <c r="B22" s="4">
        <f t="shared" si="2"/>
        <v>3.3082087137848255</v>
      </c>
      <c r="C22" s="4">
        <f t="shared" si="3"/>
        <v>9.1112483450070911</v>
      </c>
      <c r="D22" s="4">
        <f t="shared" si="0"/>
        <v>178.30108170829016</v>
      </c>
      <c r="E22" s="4">
        <f t="shared" si="1"/>
        <v>176.5107557896188</v>
      </c>
      <c r="H22" t="s">
        <v>45</v>
      </c>
      <c r="I22" s="7">
        <f>I21-I20</f>
        <v>10.02222281365146</v>
      </c>
      <c r="K22" t="s">
        <v>43</v>
      </c>
      <c r="L22" s="21">
        <f>I28/L21/L20</f>
        <v>2.617180516692328E-3</v>
      </c>
      <c r="M22" s="4">
        <f>L22*100^2</f>
        <v>26.171805166923281</v>
      </c>
      <c r="N22" t="s">
        <v>44</v>
      </c>
      <c r="O22" t="s">
        <v>67</v>
      </c>
    </row>
    <row r="23" spans="1:19" ht="17.149999999999999" x14ac:dyDescent="0.55000000000000004">
      <c r="A23">
        <v>31.5</v>
      </c>
      <c r="B23" s="4">
        <f t="shared" si="2"/>
        <v>3.3037557714299073</v>
      </c>
      <c r="C23" s="4">
        <f t="shared" si="3"/>
        <v>9.0579676441645276</v>
      </c>
      <c r="D23" s="4">
        <f t="shared" si="0"/>
        <v>178.44273438934235</v>
      </c>
      <c r="E23" s="4">
        <f t="shared" si="1"/>
        <v>176.66287792733289</v>
      </c>
      <c r="H23" t="s">
        <v>48</v>
      </c>
      <c r="I23" s="15">
        <f>I22/(1+B2)</f>
        <v>1.822222329754811</v>
      </c>
      <c r="K23" t="s">
        <v>46</v>
      </c>
      <c r="L23" s="17">
        <f>2*SQRT(L22/PI())</f>
        <v>5.7726057630528328E-2</v>
      </c>
      <c r="M23" s="4">
        <f>L23*100</f>
        <v>5.7726057630528329</v>
      </c>
      <c r="N23" t="s">
        <v>47</v>
      </c>
      <c r="O23" s="8">
        <f>CONVERT(L23, "m", "in")</f>
        <v>2.272679434272769</v>
      </c>
      <c r="P23" s="4"/>
    </row>
    <row r="24" spans="1:19" ht="17.600000000000001" thickBot="1" x14ac:dyDescent="0.6">
      <c r="A24">
        <v>31.75</v>
      </c>
      <c r="B24" s="4">
        <f t="shared" si="2"/>
        <v>3.2993387557807305</v>
      </c>
      <c r="C24" s="4">
        <f t="shared" si="3"/>
        <v>9.0054302204163896</v>
      </c>
      <c r="D24" s="4">
        <f t="shared" si="0"/>
        <v>178.58171917998462</v>
      </c>
      <c r="E24" s="4">
        <f t="shared" si="1"/>
        <v>176.81218612349269</v>
      </c>
      <c r="H24" t="s">
        <v>51</v>
      </c>
      <c r="I24" s="15">
        <f>I22-I23</f>
        <v>8.2000004838966483</v>
      </c>
      <c r="K24" t="s">
        <v>49</v>
      </c>
      <c r="L24" s="18">
        <f>(I27/(900*0.000155*L20^0.5*PI()*L23))^(1/(0+1))</f>
        <v>0.56419215732411654</v>
      </c>
      <c r="M24" s="4">
        <f>L24*100</f>
        <v>56.419215732411651</v>
      </c>
      <c r="N24" t="s">
        <v>47</v>
      </c>
      <c r="O24" s="8">
        <f>CONVERT(L24, "m", "in")</f>
        <v>22.212289658429786</v>
      </c>
      <c r="P24" s="10" t="s">
        <v>68</v>
      </c>
    </row>
    <row r="25" spans="1:19" ht="18" thickTop="1" thickBot="1" x14ac:dyDescent="0.6">
      <c r="A25">
        <v>32</v>
      </c>
      <c r="B25" s="4">
        <f t="shared" si="2"/>
        <v>3.2949570906280714</v>
      </c>
      <c r="C25" s="4">
        <f t="shared" si="3"/>
        <v>8.9536199502032421</v>
      </c>
      <c r="D25" s="4">
        <f t="shared" si="0"/>
        <v>178.71809809670785</v>
      </c>
      <c r="E25" s="4">
        <f t="shared" si="1"/>
        <v>176.95874556280774</v>
      </c>
      <c r="H25" t="s">
        <v>53</v>
      </c>
      <c r="I25" s="7">
        <f>I20/I21</f>
        <v>0.73085863746180024</v>
      </c>
      <c r="K25" t="s">
        <v>52</v>
      </c>
      <c r="L25" s="25">
        <f>SQRT(4*I23/PI()/L24/900/L21 + L23^2)</f>
        <v>8.8890473343725934E-2</v>
      </c>
      <c r="M25" s="4">
        <f t="shared" ref="M25:M26" si="4">L25*100</f>
        <v>8.8890473343725933</v>
      </c>
      <c r="N25" t="s">
        <v>47</v>
      </c>
      <c r="O25" s="8">
        <f t="shared" ref="O25:O26" si="5">CONVERT(L25, "m", "in")</f>
        <v>3.4996249347923594</v>
      </c>
      <c r="P25" t="s">
        <v>114</v>
      </c>
      <c r="Q25">
        <v>3.5</v>
      </c>
    </row>
    <row r="26" spans="1:19" ht="17.600000000000001" thickTop="1" x14ac:dyDescent="0.55000000000000004">
      <c r="A26">
        <v>32.25</v>
      </c>
      <c r="B26" s="4">
        <f t="shared" si="2"/>
        <v>3.2906102134427466</v>
      </c>
      <c r="C26" s="4">
        <f t="shared" si="3"/>
        <v>8.902521182460994</v>
      </c>
      <c r="D26" s="4">
        <f t="shared" si="0"/>
        <v>178.85193128154222</v>
      </c>
      <c r="E26" s="4">
        <f t="shared" si="1"/>
        <v>177.10261946268324</v>
      </c>
      <c r="H26" t="s">
        <v>55</v>
      </c>
      <c r="I26" s="24">
        <f>B4/I10/9.81</f>
        <v>1.9265823276308707</v>
      </c>
      <c r="K26" t="s">
        <v>54</v>
      </c>
      <c r="L26" s="18">
        <f>(L25-L23)/2</f>
        <v>1.5582207856598803E-2</v>
      </c>
      <c r="M26" s="4">
        <f t="shared" si="4"/>
        <v>1.5582207856598802</v>
      </c>
      <c r="N26" t="s">
        <v>47</v>
      </c>
      <c r="O26" s="4">
        <f t="shared" si="5"/>
        <v>0.61347275025979542</v>
      </c>
    </row>
    <row r="27" spans="1:19" ht="17.149999999999999" x14ac:dyDescent="0.55000000000000004">
      <c r="A27">
        <v>32.5</v>
      </c>
      <c r="B27" s="4">
        <f t="shared" si="2"/>
        <v>3.2862975749473473</v>
      </c>
      <c r="C27" s="4">
        <f t="shared" si="3"/>
        <v>8.8521187212365504</v>
      </c>
      <c r="D27" s="4">
        <f t="shared" si="0"/>
        <v>178.98327707224664</v>
      </c>
      <c r="E27" s="4">
        <f t="shared" si="1"/>
        <v>177.24386914682552</v>
      </c>
      <c r="H27" t="s">
        <v>57</v>
      </c>
      <c r="I27" s="8">
        <f>I26/(1 + B2)</f>
        <v>0.35028769593288556</v>
      </c>
    </row>
    <row r="28" spans="1:19" ht="17.149999999999999" x14ac:dyDescent="0.55000000000000004">
      <c r="A28">
        <v>32.75</v>
      </c>
      <c r="B28" s="4">
        <f t="shared" si="2"/>
        <v>3.2820186387045589</v>
      </c>
      <c r="C28" s="4">
        <f t="shared" si="3"/>
        <v>8.8023978090712589</v>
      </c>
      <c r="D28" s="4">
        <f t="shared" si="0"/>
        <v>179.11219206936372</v>
      </c>
      <c r="E28" s="4">
        <f t="shared" si="1"/>
        <v>177.38255411556213</v>
      </c>
      <c r="H28" t="s">
        <v>58</v>
      </c>
      <c r="I28" s="7">
        <f>I26-I27</f>
        <v>1.5762946316979851</v>
      </c>
      <c r="M28" s="20"/>
    </row>
    <row r="29" spans="1:19" x14ac:dyDescent="0.4">
      <c r="A29">
        <v>33</v>
      </c>
      <c r="B29" s="4">
        <f t="shared" si="2"/>
        <v>3.27777288072132</v>
      </c>
      <c r="C29" s="4">
        <f t="shared" si="3"/>
        <v>8.7533441111126518</v>
      </c>
      <c r="D29" s="4">
        <f t="shared" si="0"/>
        <v>179.23873120030143</v>
      </c>
      <c r="E29" s="4">
        <f t="shared" si="1"/>
        <v>177.51873211304553</v>
      </c>
      <c r="H29" s="1"/>
      <c r="I29" s="7"/>
      <c r="S29" s="7"/>
    </row>
    <row r="30" spans="1:19" x14ac:dyDescent="0.4">
      <c r="A30">
        <v>33.25</v>
      </c>
      <c r="B30" s="4">
        <f t="shared" si="2"/>
        <v>3.2735597890680772</v>
      </c>
      <c r="C30" s="4">
        <f t="shared" si="3"/>
        <v>8.7049436999171714</v>
      </c>
      <c r="D30" s="4">
        <f t="shared" si="0"/>
        <v>179.36294778059579</v>
      </c>
      <c r="E30" s="4">
        <f t="shared" si="1"/>
        <v>177.65245919150175</v>
      </c>
      <c r="K30" s="4"/>
      <c r="M30" s="4"/>
      <c r="N30" s="4"/>
    </row>
    <row r="31" spans="1:19" x14ac:dyDescent="0.4">
      <c r="A31">
        <v>33.5</v>
      </c>
      <c r="B31" s="4">
        <f t="shared" si="2"/>
        <v>3.2693788635124679</v>
      </c>
      <c r="C31" s="4">
        <f t="shared" si="3"/>
        <v>8.657183040909036</v>
      </c>
      <c r="D31" s="4">
        <f t="shared" si="0"/>
        <v>179.48489357249713</v>
      </c>
      <c r="E31" s="4">
        <f t="shared" si="1"/>
        <v>177.78378977267425</v>
      </c>
      <c r="H31" s="22" t="s">
        <v>71</v>
      </c>
    </row>
    <row r="32" spans="1:19" x14ac:dyDescent="0.4">
      <c r="A32">
        <v>33.75</v>
      </c>
      <c r="B32" s="4">
        <f t="shared" si="2"/>
        <v>3.2652296151667679</v>
      </c>
      <c r="C32" s="4">
        <f t="shared" si="3"/>
        <v>8.6100489784622951</v>
      </c>
      <c r="D32" s="4">
        <f t="shared" si="0"/>
        <v>179.60461884101628</v>
      </c>
      <c r="E32" s="4">
        <f t="shared" si="1"/>
        <v>177.91277670660472</v>
      </c>
      <c r="H32" t="s">
        <v>37</v>
      </c>
      <c r="K32" t="s">
        <v>38</v>
      </c>
    </row>
    <row r="33" spans="1:15" ht="17.600000000000001" x14ac:dyDescent="0.55000000000000004">
      <c r="A33">
        <v>34</v>
      </c>
      <c r="B33" s="4">
        <f t="shared" si="2"/>
        <v>3.2611115661484993</v>
      </c>
      <c r="C33" s="4">
        <f t="shared" si="3"/>
        <v>8.5635287225747501</v>
      </c>
      <c r="D33" s="4">
        <f t="shared" si="0"/>
        <v>179.72217240755899</v>
      </c>
      <c r="E33" s="4">
        <f t="shared" si="1"/>
        <v>178.03947132788602</v>
      </c>
      <c r="H33" t="s">
        <v>39</v>
      </c>
      <c r="I33" s="14">
        <f>I20</f>
        <v>27.215542200000002</v>
      </c>
      <c r="K33" t="s">
        <v>40</v>
      </c>
      <c r="L33" s="13">
        <v>602.09678637691889</v>
      </c>
      <c r="M33" s="10" t="s">
        <v>41</v>
      </c>
    </row>
    <row r="34" spans="1:15" ht="17.149999999999999" x14ac:dyDescent="0.55000000000000004">
      <c r="A34">
        <v>34.25</v>
      </c>
      <c r="B34" s="4">
        <f t="shared" si="2"/>
        <v>3.257024249253603</v>
      </c>
      <c r="C34" s="4">
        <f t="shared" si="3"/>
        <v>8.5176098361045494</v>
      </c>
      <c r="D34" s="4">
        <f t="shared" si="0"/>
        <v>179.83760170126811</v>
      </c>
      <c r="E34" s="4">
        <f t="shared" si="1"/>
        <v>178.1639235095125</v>
      </c>
      <c r="H34" t="s">
        <v>42</v>
      </c>
      <c r="I34" s="4">
        <f>I33+I35</f>
        <v>37.237764422222227</v>
      </c>
      <c r="K34" t="s">
        <v>87</v>
      </c>
      <c r="L34" s="13">
        <v>1</v>
      </c>
    </row>
    <row r="35" spans="1:15" ht="17.600000000000001" x14ac:dyDescent="0.55000000000000004">
      <c r="A35">
        <v>34.5</v>
      </c>
      <c r="B35" s="4">
        <f t="shared" si="2"/>
        <v>3.2529672076416394</v>
      </c>
      <c r="C35" s="4">
        <f t="shared" si="3"/>
        <v>8.4722802225420732</v>
      </c>
      <c r="D35" s="4">
        <f t="shared" si="0"/>
        <v>179.95095280818703</v>
      </c>
      <c r="E35" s="4">
        <f t="shared" si="1"/>
        <v>178.28618171444603</v>
      </c>
      <c r="H35" t="s">
        <v>45</v>
      </c>
      <c r="I35" s="7">
        <f>I36+I37</f>
        <v>10.022222222222222</v>
      </c>
      <c r="K35" t="s">
        <v>43</v>
      </c>
      <c r="L35" s="21">
        <f>I41/L34/L33</f>
        <v>2.6180087111629395E-3</v>
      </c>
      <c r="M35" s="4">
        <f>L35*100^2</f>
        <v>26.180087111629394</v>
      </c>
      <c r="N35" t="s">
        <v>44</v>
      </c>
      <c r="O35" t="s">
        <v>67</v>
      </c>
    </row>
    <row r="36" spans="1:15" ht="17.149999999999999" x14ac:dyDescent="0.55000000000000004">
      <c r="A36">
        <v>34.75</v>
      </c>
      <c r="B36" s="4">
        <f t="shared" si="2"/>
        <v>3.2489399945324662</v>
      </c>
      <c r="C36" s="4">
        <f t="shared" si="3"/>
        <v>8.427528114290272</v>
      </c>
      <c r="D36" s="4">
        <f t="shared" si="0"/>
        <v>180.06227051835353</v>
      </c>
      <c r="E36" s="4">
        <f t="shared" si="1"/>
        <v>178.40629304501275</v>
      </c>
      <c r="H36" t="s">
        <v>48</v>
      </c>
      <c r="I36" s="15">
        <f>I37/B2</f>
        <v>1.822222222222222</v>
      </c>
      <c r="K36" t="s">
        <v>46</v>
      </c>
      <c r="L36" s="17">
        <f>2*SQRT(L35/PI())</f>
        <v>5.7735190477851472E-2</v>
      </c>
      <c r="M36" s="4">
        <f>L36*100</f>
        <v>5.7735190477851468</v>
      </c>
      <c r="N36" t="s">
        <v>47</v>
      </c>
      <c r="O36" s="8">
        <f>CONVERT(L36, "m", "in")</f>
        <v>2.2730389951910031</v>
      </c>
    </row>
    <row r="37" spans="1:15" ht="17.600000000000001" thickBot="1" x14ac:dyDescent="0.6">
      <c r="A37">
        <v>35</v>
      </c>
      <c r="B37" s="4">
        <f t="shared" si="2"/>
        <v>3.244942172913921</v>
      </c>
      <c r="C37" s="4">
        <f t="shared" si="3"/>
        <v>8.3833420614295537</v>
      </c>
      <c r="D37" s="4">
        <f t="shared" si="0"/>
        <v>180.17159837092268</v>
      </c>
      <c r="E37" s="4">
        <f t="shared" si="1"/>
        <v>178.5243032902338</v>
      </c>
      <c r="H37" t="s">
        <v>51</v>
      </c>
      <c r="I37" s="23">
        <v>8.1999999999999993</v>
      </c>
      <c r="K37" t="s">
        <v>49</v>
      </c>
      <c r="L37" s="18">
        <f>(I40/(900*0.000155*L33^0.5*PI()*L36))^(1/(0+1))</f>
        <v>0.56419215732411654</v>
      </c>
      <c r="M37" s="4">
        <f>L37*100</f>
        <v>56.419215732411651</v>
      </c>
      <c r="N37" t="s">
        <v>47</v>
      </c>
      <c r="O37" s="8">
        <f t="shared" ref="O37:O39" si="6">CONVERT(L37, "m", "in")</f>
        <v>22.212289658429786</v>
      </c>
    </row>
    <row r="38" spans="1:15" ht="18" thickTop="1" thickBot="1" x14ac:dyDescent="0.6">
      <c r="A38">
        <v>35.25</v>
      </c>
      <c r="B38" s="4">
        <f t="shared" si="2"/>
        <v>3.2409733152600206</v>
      </c>
      <c r="C38" s="4">
        <f t="shared" si="3"/>
        <v>8.3397109209435314</v>
      </c>
      <c r="D38" s="4">
        <f t="shared" si="0"/>
        <v>180.27897869741608</v>
      </c>
      <c r="E38" s="4">
        <f t="shared" si="1"/>
        <v>178.64025697119143</v>
      </c>
      <c r="H38" t="s">
        <v>53</v>
      </c>
      <c r="I38" s="7">
        <f>I33/I34</f>
        <v>0.73085864906967113</v>
      </c>
      <c r="K38" t="s">
        <v>52</v>
      </c>
      <c r="L38" s="25">
        <f>SQRT(4*I36/PI()/L37/900/L34 + L36^2)</f>
        <v>8.8896403029507506E-2</v>
      </c>
      <c r="M38" s="4">
        <f t="shared" ref="M38:M39" si="7">L38*100</f>
        <v>8.8896403029507507</v>
      </c>
      <c r="N38" t="s">
        <v>47</v>
      </c>
      <c r="O38" s="8">
        <f t="shared" si="6"/>
        <v>3.4998583869884845</v>
      </c>
    </row>
    <row r="39" spans="1:15" ht="17.600000000000001" thickTop="1" x14ac:dyDescent="0.55000000000000004">
      <c r="A39">
        <v>35.5</v>
      </c>
      <c r="B39" s="4">
        <f t="shared" si="2"/>
        <v>3.2370330032592216</v>
      </c>
      <c r="C39" s="4">
        <f t="shared" si="3"/>
        <v>8.2966238463835058</v>
      </c>
      <c r="D39" s="4">
        <f t="shared" si="0"/>
        <v>180.38445266318763</v>
      </c>
      <c r="E39" s="4">
        <f t="shared" si="1"/>
        <v>178.75419738452578</v>
      </c>
      <c r="H39" t="s">
        <v>55</v>
      </c>
      <c r="I39" s="24">
        <f>B4/I10/9.81</f>
        <v>1.9265823276308707</v>
      </c>
      <c r="K39" t="s">
        <v>54</v>
      </c>
      <c r="L39" s="18">
        <f>(L38-L36)/2</f>
        <v>1.5580606275828017E-2</v>
      </c>
      <c r="M39" s="4">
        <f t="shared" si="7"/>
        <v>1.5580606275828017</v>
      </c>
      <c r="N39" t="s">
        <v>47</v>
      </c>
      <c r="O39" s="4">
        <f t="shared" si="6"/>
        <v>0.61340969589874073</v>
      </c>
    </row>
    <row r="40" spans="1:15" ht="17.149999999999999" x14ac:dyDescent="0.55000000000000004">
      <c r="A40">
        <v>35.75</v>
      </c>
      <c r="B40" s="4">
        <f t="shared" si="2"/>
        <v>3.233120827552332</v>
      </c>
      <c r="C40" s="4">
        <f t="shared" si="3"/>
        <v>8.2540702779511665</v>
      </c>
      <c r="D40" s="4">
        <f t="shared" si="0"/>
        <v>180.48806030719072</v>
      </c>
      <c r="E40" s="4">
        <f t="shared" si="1"/>
        <v>178.86616664415075</v>
      </c>
      <c r="H40" t="s">
        <v>57</v>
      </c>
      <c r="I40" s="8">
        <f>I39/(1 + B2)</f>
        <v>0.35028769593288556</v>
      </c>
    </row>
    <row r="41" spans="1:15" ht="17.149999999999999" x14ac:dyDescent="0.55000000000000004">
      <c r="A41">
        <v>36</v>
      </c>
      <c r="B41" s="4">
        <f t="shared" si="2"/>
        <v>3.2292363874796473</v>
      </c>
      <c r="C41" s="4">
        <f t="shared" si="3"/>
        <v>8.212039932979609</v>
      </c>
      <c r="D41" s="4">
        <f t="shared" si="0"/>
        <v>180.58984058012734</v>
      </c>
      <c r="E41" s="4">
        <f t="shared" si="1"/>
        <v>178.97620572127354</v>
      </c>
      <c r="H41" t="s">
        <v>58</v>
      </c>
      <c r="I41" s="7">
        <f>I39-I40</f>
        <v>1.5762946316979851</v>
      </c>
    </row>
    <row r="42" spans="1:15" x14ac:dyDescent="0.4">
      <c r="A42">
        <v>36.25</v>
      </c>
      <c r="B42" s="4">
        <f t="shared" si="2"/>
        <v>3.2253792908369414</v>
      </c>
      <c r="C42" s="4">
        <f t="shared" si="3"/>
        <v>8.1705227967940548</v>
      </c>
      <c r="D42" s="4">
        <f t="shared" si="0"/>
        <v>180.68983138105696</v>
      </c>
      <c r="E42" s="4">
        <f t="shared" si="1"/>
        <v>179.08435448279951</v>
      </c>
    </row>
    <row r="43" spans="1:15" x14ac:dyDescent="0.4">
      <c r="A43">
        <v>36.5</v>
      </c>
      <c r="B43" s="4">
        <f t="shared" si="2"/>
        <v>3.221549153639927</v>
      </c>
      <c r="C43" s="4">
        <f t="shared" si="3"/>
        <v>8.1295091139345761</v>
      </c>
      <c r="D43" s="4">
        <f t="shared" si="0"/>
        <v>180.78806959253552</v>
      </c>
      <c r="E43" s="4">
        <f t="shared" si="1"/>
        <v>179.19065172819563</v>
      </c>
    </row>
    <row r="44" spans="1:15" x14ac:dyDescent="0.4">
      <c r="A44">
        <v>36.75</v>
      </c>
      <c r="B44" s="4">
        <f t="shared" si="2"/>
        <v>3.2177455998968503</v>
      </c>
      <c r="C44" s="4">
        <f t="shared" si="3"/>
        <v>8.0889893797243175</v>
      </c>
      <c r="D44" s="4">
        <f t="shared" si="0"/>
        <v>180.88459111435427</v>
      </c>
      <c r="E44" s="4">
        <f t="shared" si="1"/>
        <v>179.29513522488622</v>
      </c>
    </row>
    <row r="45" spans="1:15" x14ac:dyDescent="0.4">
      <c r="A45">
        <v>37</v>
      </c>
      <c r="B45" s="4">
        <f t="shared" si="2"/>
        <v>3.2139682613888803</v>
      </c>
      <c r="C45" s="4">
        <f t="shared" si="3"/>
        <v>8.0489543321671313</v>
      </c>
      <c r="D45" s="4">
        <f t="shared" si="0"/>
        <v>180.97943089594276</v>
      </c>
      <c r="E45" s="4">
        <f t="shared" si="1"/>
        <v>179.39784174224823</v>
      </c>
    </row>
    <row r="46" spans="1:15" x14ac:dyDescent="0.4">
      <c r="A46">
        <v>37.25</v>
      </c>
      <c r="B46" s="4">
        <f t="shared" si="2"/>
        <v>3.2102167774579669</v>
      </c>
      <c r="C46" s="4">
        <f t="shared" si="3"/>
        <v>8.0093949441596859</v>
      </c>
      <c r="D46" s="4">
        <f t="shared" si="0"/>
        <v>181.07262296749761</v>
      </c>
      <c r="E46" s="4">
        <f t="shared" si="1"/>
        <v>179.49880708426994</v>
      </c>
    </row>
    <row r="47" spans="1:15" x14ac:dyDescent="0.4">
      <c r="A47">
        <v>37.5</v>
      </c>
      <c r="B47" s="4">
        <f t="shared" si="2"/>
        <v>3.2064907948018808</v>
      </c>
      <c r="C47" s="4">
        <f t="shared" si="3"/>
        <v>7.9703024160040208</v>
      </c>
      <c r="D47" s="4">
        <f t="shared" si="0"/>
        <v>181.16420046989484</v>
      </c>
      <c r="E47" s="4">
        <f t="shared" si="1"/>
        <v>179.59806612093485</v>
      </c>
    </row>
    <row r="48" spans="1:15" x14ac:dyDescent="0.4">
      <c r="A48">
        <v>37.75</v>
      </c>
      <c r="B48" s="4">
        <f t="shared" si="2"/>
        <v>3.2027899672761326</v>
      </c>
      <c r="C48" s="4">
        <f t="shared" si="3"/>
        <v>7.9316681682067163</v>
      </c>
      <c r="D48" s="4">
        <f t="shared" si="0"/>
        <v>181.25419568344125</v>
      </c>
      <c r="E48" s="4">
        <f t="shared" si="1"/>
        <v>179.6956528183878</v>
      </c>
    </row>
    <row r="49" spans="1:5" x14ac:dyDescent="0.4">
      <c r="A49">
        <v>38</v>
      </c>
      <c r="B49" s="4">
        <f t="shared" si="2"/>
        <v>3.1991139557025012</v>
      </c>
      <c r="C49" s="4">
        <f t="shared" si="3"/>
        <v>7.8934838345521179</v>
      </c>
      <c r="D49" s="4">
        <f t="shared" si="0"/>
        <v>181.34264005551745</v>
      </c>
      <c r="E49" s="4">
        <f t="shared" si="1"/>
        <v>179.79160026793926</v>
      </c>
    </row>
    <row r="50" spans="1:5" x14ac:dyDescent="0.4">
      <c r="A50">
        <v>38.25</v>
      </c>
      <c r="B50" s="4">
        <f t="shared" si="2"/>
        <v>3.1954624276839119</v>
      </c>
      <c r="C50" s="4">
        <f t="shared" si="3"/>
        <v>7.855741255437465</v>
      </c>
      <c r="D50" s="4">
        <f t="shared" si="0"/>
        <v>181.42956422716097</v>
      </c>
      <c r="E50" s="4">
        <f t="shared" si="1"/>
        <v>179.88594071395789</v>
      </c>
    </row>
    <row r="51" spans="1:5" x14ac:dyDescent="0.4">
      <c r="A51">
        <v>38.5</v>
      </c>
      <c r="B51" s="4">
        <f t="shared" si="2"/>
        <v>3.1918350574254095</v>
      </c>
      <c r="C51" s="4">
        <f t="shared" si="3"/>
        <v>7.8184324714581699</v>
      </c>
      <c r="D51" s="4">
        <f t="shared" si="0"/>
        <v>181.5149980586383</v>
      </c>
      <c r="E51" s="4">
        <f t="shared" si="1"/>
        <v>179.97870558070321</v>
      </c>
    </row>
    <row r="52" spans="1:5" x14ac:dyDescent="0.4">
      <c r="A52">
        <v>38.75</v>
      </c>
      <c r="B52" s="4">
        <f t="shared" si="2"/>
        <v>3.1882315255609885</v>
      </c>
      <c r="C52" s="4">
        <f t="shared" si="3"/>
        <v>7.7815497172326209</v>
      </c>
      <c r="D52" s="4">
        <f t="shared" si="0"/>
        <v>181.59897065404917</v>
      </c>
      <c r="E52" s="4">
        <f t="shared" si="1"/>
        <v>180.06992549814305</v>
      </c>
    </row>
    <row r="53" spans="1:5" x14ac:dyDescent="0.4">
      <c r="A53">
        <v>39</v>
      </c>
      <c r="B53" s="4">
        <f t="shared" si="2"/>
        <v>3.1846515189860534</v>
      </c>
      <c r="C53" s="4">
        <f t="shared" si="3"/>
        <v>7.7450854154557671</v>
      </c>
      <c r="D53" s="4">
        <f t="shared" si="0"/>
        <v>181.68151038500591</v>
      </c>
      <c r="E53" s="4">
        <f t="shared" si="1"/>
        <v>180.15963032680156</v>
      </c>
    </row>
    <row r="54" spans="1:5" x14ac:dyDescent="0.4">
      <c r="A54">
        <v>39.25</v>
      </c>
      <c r="B54" s="4">
        <f t="shared" si="2"/>
        <v>3.1810947306952846</v>
      </c>
      <c r="C54" s="4">
        <f t="shared" si="3"/>
        <v>7.709032171171744</v>
      </c>
      <c r="D54" s="4">
        <f t="shared" si="0"/>
        <v>181.762644913429</v>
      </c>
      <c r="E54" s="4">
        <f t="shared" si="1"/>
        <v>180.24784918168021</v>
      </c>
    </row>
    <row r="55" spans="1:5" x14ac:dyDescent="0.4">
      <c r="A55">
        <v>39.5</v>
      </c>
      <c r="B55" s="4">
        <f t="shared" si="2"/>
        <v>3.1775608596257192</v>
      </c>
      <c r="C55" s="4">
        <f t="shared" si="3"/>
        <v>7.6733827662562861</v>
      </c>
      <c r="D55" s="4">
        <f t="shared" si="0"/>
        <v>181.84240121349569</v>
      </c>
      <c r="E55" s="4">
        <f t="shared" si="1"/>
        <v>180.33461045529043</v>
      </c>
    </row>
    <row r="56" spans="1:5" x14ac:dyDescent="0.4">
      <c r="A56">
        <v>39.75</v>
      </c>
      <c r="B56" s="4">
        <f t="shared" si="2"/>
        <v>3.1740496105048277</v>
      </c>
      <c r="C56" s="4">
        <f t="shared" si="3"/>
        <v>7.6381301540996827</v>
      </c>
      <c r="D56" s="4">
        <f t="shared" si="0"/>
        <v>181.9208055927798</v>
      </c>
      <c r="E56" s="4">
        <f t="shared" si="1"/>
        <v>180.41994183983829</v>
      </c>
    </row>
    <row r="57" spans="1:5" x14ac:dyDescent="0.4">
      <c r="A57">
        <v>40</v>
      </c>
      <c r="B57" s="4">
        <f t="shared" si="2"/>
        <v>3.1705606937034028</v>
      </c>
      <c r="C57" s="4">
        <f t="shared" si="3"/>
        <v>7.6032674544818919</v>
      </c>
      <c r="D57" s="4">
        <f t="shared" si="0"/>
        <v>181.99788371261619</v>
      </c>
      <c r="E57" s="4">
        <f t="shared" si="1"/>
        <v>180.50387034859583</v>
      </c>
    </row>
    <row r="58" spans="1:5" x14ac:dyDescent="0.4">
      <c r="A58">
        <v>40.25</v>
      </c>
      <c r="B58" s="4">
        <f t="shared" si="2"/>
        <v>3.1670938250930925</v>
      </c>
      <c r="C58" s="4">
        <f t="shared" si="3"/>
        <v>7.5687879486319005</v>
      </c>
      <c r="D58" s="4">
        <f t="shared" si="0"/>
        <v>182.07366060772281</v>
      </c>
      <c r="E58" s="4">
        <f t="shared" si="1"/>
        <v>180.58642233649422</v>
      </c>
    </row>
    <row r="59" spans="1:5" x14ac:dyDescent="0.4">
      <c r="A59">
        <v>40.5</v>
      </c>
      <c r="B59" s="4">
        <f t="shared" si="2"/>
        <v>3.1636487259083772</v>
      </c>
      <c r="C59" s="4">
        <f t="shared" si="3"/>
        <v>7.5346850744632343</v>
      </c>
      <c r="D59" s="4">
        <f t="shared" si="0"/>
        <v>182.14816070511338</v>
      </c>
      <c r="E59" s="4">
        <f t="shared" si="1"/>
        <v>180.66762351997235</v>
      </c>
    </row>
    <row r="60" spans="1:5" x14ac:dyDescent="0.4">
      <c r="A60">
        <v>40.75</v>
      </c>
      <c r="B60" s="4">
        <f t="shared" si="2"/>
        <v>3.1602251226128533</v>
      </c>
      <c r="C60" s="4">
        <f t="shared" si="3"/>
        <v>7.5009524219786661</v>
      </c>
      <c r="D60" s="4">
        <f t="shared" si="0"/>
        <v>182.22140784232784</v>
      </c>
      <c r="E60" s="4">
        <f t="shared" si="1"/>
        <v>180.74749899611049</v>
      </c>
    </row>
    <row r="61" spans="1:5" x14ac:dyDescent="0.4">
      <c r="A61">
        <v>41</v>
      </c>
      <c r="B61" s="4">
        <f t="shared" si="2"/>
        <v>3.156822746769643</v>
      </c>
      <c r="C61" s="4">
        <f t="shared" si="3"/>
        <v>7.4675837288369022</v>
      </c>
      <c r="D61" s="4">
        <f t="shared" si="0"/>
        <v>182.29342528501186</v>
      </c>
      <c r="E61" s="4">
        <f t="shared" si="1"/>
        <v>180.82607326108075</v>
      </c>
    </row>
    <row r="62" spans="1:5" x14ac:dyDescent="0.4">
      <c r="A62">
        <v>41.25</v>
      </c>
      <c r="B62" s="4">
        <f t="shared" si="2"/>
        <v>3.1534413349157853</v>
      </c>
      <c r="C62" s="4">
        <f t="shared" si="3"/>
        <v>7.4345728760745686</v>
      </c>
      <c r="D62" s="4">
        <f t="shared" si="0"/>
        <v>182.36423574387032</v>
      </c>
      <c r="E62" s="4">
        <f t="shared" si="1"/>
        <v>180.9033702279412</v>
      </c>
    </row>
    <row r="63" spans="1:5" x14ac:dyDescent="0.4">
      <c r="A63">
        <v>41.5</v>
      </c>
      <c r="B63" s="4">
        <f t="shared" si="2"/>
        <v>3.1500806284404681</v>
      </c>
      <c r="C63" s="4">
        <f t="shared" si="3"/>
        <v>7.4019138839773548</v>
      </c>
      <c r="D63" s="4">
        <f t="shared" si="0"/>
        <v>182.43386139102194</v>
      </c>
      <c r="E63" s="4">
        <f t="shared" si="1"/>
        <v>180.97941324380184</v>
      </c>
    </row>
    <row r="64" spans="1:5" x14ac:dyDescent="0.4">
      <c r="A64">
        <v>41.75</v>
      </c>
      <c r="B64" s="4">
        <f t="shared" si="2"/>
        <v>3.1467403734669519</v>
      </c>
      <c r="C64" s="4">
        <f t="shared" si="3"/>
        <v>7.3696009080940224</v>
      </c>
      <c r="D64" s="4">
        <f t="shared" si="0"/>
        <v>182.5023238757787</v>
      </c>
      <c r="E64" s="4">
        <f t="shared" si="1"/>
        <v>181.05422510638726</v>
      </c>
    </row>
    <row r="65" spans="1:5" x14ac:dyDescent="0.4">
      <c r="A65">
        <v>42</v>
      </c>
      <c r="B65" s="4">
        <f t="shared" si="2"/>
        <v>3.1434203207380591</v>
      </c>
      <c r="C65" s="4">
        <f t="shared" si="3"/>
        <v>7.337628235387637</v>
      </c>
      <c r="D65" s="4">
        <f t="shared" si="0"/>
        <v>182.56964433987429</v>
      </c>
      <c r="E65" s="4">
        <f t="shared" si="1"/>
        <v>181.12782808002137</v>
      </c>
    </row>
    <row r="66" spans="1:5" x14ac:dyDescent="0.4">
      <c r="A66">
        <v>42.25</v>
      </c>
      <c r="B66" s="4">
        <f t="shared" si="2"/>
        <v>3.1401202255050982</v>
      </c>
      <c r="C66" s="4">
        <f t="shared" si="3"/>
        <v>7.3059902805185173</v>
      </c>
      <c r="D66" s="4">
        <f t="shared" si="0"/>
        <v>182.63584343216354</v>
      </c>
      <c r="E66" s="4">
        <f t="shared" si="1"/>
        <v>181.20024391105721</v>
      </c>
    </row>
    <row r="67" spans="1:5" x14ac:dyDescent="0.4">
      <c r="A67">
        <v>42.5</v>
      </c>
      <c r="B67" s="4">
        <f t="shared" si="2"/>
        <v>3.1368398474200943</v>
      </c>
      <c r="C67" s="4">
        <f t="shared" si="3"/>
        <v>7.2746815822535469</v>
      </c>
      <c r="D67" s="4">
        <f t="shared" si="0"/>
        <v>182.70094132281432</v>
      </c>
      <c r="E67" s="4">
        <f t="shared" si="1"/>
        <v>181.27149384277428</v>
      </c>
    </row>
    <row r="68" spans="1:5" x14ac:dyDescent="0.4">
      <c r="A68">
        <v>42.75</v>
      </c>
      <c r="B68" s="4">
        <f t="shared" si="2"/>
        <v>3.1335789504312226</v>
      </c>
      <c r="C68" s="4">
        <f t="shared" si="3"/>
        <v>7.2436967999969823</v>
      </c>
      <c r="D68" s="4">
        <f t="shared" si="0"/>
        <v>182.76495771701187</v>
      </c>
      <c r="E68" s="4">
        <f t="shared" si="1"/>
        <v>181.34159862976475</v>
      </c>
    </row>
    <row r="69" spans="1:5" x14ac:dyDescent="0.4">
      <c r="A69">
        <v>43</v>
      </c>
      <c r="B69" s="4">
        <f t="shared" si="2"/>
        <v>3.1303373026813204</v>
      </c>
      <c r="C69" s="4">
        <f t="shared" si="3"/>
        <v>7.2130307104378097</v>
      </c>
      <c r="D69" s="4">
        <f t="shared" si="0"/>
        <v>182.82791186819557</v>
      </c>
      <c r="E69" s="4">
        <f t="shared" si="1"/>
        <v>181.41057855182891</v>
      </c>
    </row>
    <row r="70" spans="1:5" x14ac:dyDescent="0.4">
      <c r="A70">
        <v>43.25</v>
      </c>
      <c r="B70" s="4">
        <f t="shared" si="2"/>
        <v>3.1271146764093682</v>
      </c>
      <c r="C70" s="4">
        <f t="shared" si="3"/>
        <v>7.1826782043092638</v>
      </c>
      <c r="D70" s="4">
        <f t="shared" si="0"/>
        <v>182.88982259084651</v>
      </c>
      <c r="E70" s="4">
        <f t="shared" si="1"/>
        <v>181.4784534273995</v>
      </c>
    </row>
    <row r="71" spans="1:5" x14ac:dyDescent="0.4">
      <c r="A71">
        <v>43.5</v>
      </c>
      <c r="B71" s="4">
        <f t="shared" si="2"/>
        <v>3.1239108478548445</v>
      </c>
      <c r="C71" s="4">
        <f t="shared" si="3"/>
        <v>7.152634283255888</v>
      </c>
      <c r="D71" s="4">
        <f t="shared" si="0"/>
        <v>182.950708272843</v>
      </c>
      <c r="E71" s="4">
        <f t="shared" si="1"/>
        <v>181.54524262651285</v>
      </c>
    </row>
    <row r="72" spans="1:5" x14ac:dyDescent="0.4">
      <c r="A72">
        <v>43.75</v>
      </c>
      <c r="B72" s="4">
        <f t="shared" si="2"/>
        <v>3.120725597164852</v>
      </c>
      <c r="C72" s="4">
        <f t="shared" si="3"/>
        <v>7.122894056804201</v>
      </c>
      <c r="D72" s="4">
        <f t="shared" si="0"/>
        <v>183.01058688740221</v>
      </c>
      <c r="E72" s="4">
        <f t="shared" si="1"/>
        <v>181.6109650833456</v>
      </c>
    </row>
    <row r="73" spans="1:5" x14ac:dyDescent="0.4">
      <c r="A73">
        <v>44</v>
      </c>
      <c r="B73" s="4">
        <f t="shared" si="2"/>
        <v>3.1175587083039158</v>
      </c>
      <c r="C73" s="4">
        <f t="shared" si="3"/>
        <v>7.0934527394329052</v>
      </c>
      <c r="D73" s="4">
        <f t="shared" si="0"/>
        <v>183.06947600462209</v>
      </c>
      <c r="E73" s="4">
        <f t="shared" si="1"/>
        <v>181.67563930833271</v>
      </c>
    </row>
    <row r="74" spans="1:5" x14ac:dyDescent="0.4">
      <c r="A74">
        <v>44.25</v>
      </c>
      <c r="B74" s="4">
        <f t="shared" si="2"/>
        <v>3.1144099689663598</v>
      </c>
      <c r="C74" s="4">
        <f t="shared" si="3"/>
        <v>7.0643056477386796</v>
      </c>
      <c r="D74" s="4">
        <f t="shared" si="0"/>
        <v>183.12739280264171</v>
      </c>
      <c r="E74" s="4">
        <f t="shared" si="1"/>
        <v>181.73928339988424</v>
      </c>
    </row>
    <row r="75" spans="1:5" x14ac:dyDescent="0.4">
      <c r="A75">
        <v>44.5</v>
      </c>
      <c r="B75" s="4">
        <f t="shared" si="2"/>
        <v>3.1112791704911902</v>
      </c>
      <c r="C75" s="4">
        <f t="shared" si="3"/>
        <v>7.0354481976941807</v>
      </c>
      <c r="D75" s="4">
        <f t="shared" si="0"/>
        <v>183.18435407843194</v>
      </c>
      <c r="E75" s="4">
        <f t="shared" si="1"/>
        <v>181.80191505571517</v>
      </c>
    </row>
    <row r="76" spans="1:5" x14ac:dyDescent="0.4">
      <c r="A76">
        <v>44.75</v>
      </c>
      <c r="B76" s="4">
        <f t="shared" si="2"/>
        <v>3.1081661077793763</v>
      </c>
      <c r="C76" s="4">
        <f t="shared" si="3"/>
        <v>7.0068759019945093</v>
      </c>
      <c r="D76" s="4">
        <f t="shared" si="0"/>
        <v>183.24037625823283</v>
      </c>
      <c r="E76" s="4">
        <f t="shared" si="1"/>
        <v>181.86355158380402</v>
      </c>
    </row>
    <row r="77" spans="1:5" x14ac:dyDescent="0.4">
      <c r="A77">
        <v>45</v>
      </c>
      <c r="B77" s="4">
        <f t="shared" si="2"/>
        <v>3.1050705792134665</v>
      </c>
      <c r="C77" s="4">
        <f t="shared" si="3"/>
        <v>6.9785843674889536</v>
      </c>
      <c r="D77" s="4">
        <f t="shared" si="0"/>
        <v>183.2954754076496</v>
      </c>
      <c r="E77" s="4">
        <f t="shared" si="1"/>
        <v>181.92420991299358</v>
      </c>
    </row>
    <row r="78" spans="1:5" x14ac:dyDescent="0.4">
      <c r="A78">
        <v>45.25</v>
      </c>
      <c r="B78" s="4">
        <f t="shared" si="2"/>
        <v>3.1019923865794516</v>
      </c>
      <c r="C78" s="4">
        <f t="shared" si="3"/>
        <v>6.9505692926947233</v>
      </c>
      <c r="D78" s="4">
        <f t="shared" si="0"/>
        <v>183.3496672414218</v>
      </c>
      <c r="E78" s="4">
        <f t="shared" si="1"/>
        <v>181.9839066032485</v>
      </c>
    </row>
    <row r="79" spans="1:5" x14ac:dyDescent="0.4">
      <c r="A79">
        <v>45.5</v>
      </c>
      <c r="B79" s="4">
        <f t="shared" si="2"/>
        <v>3.0989313349908096</v>
      </c>
      <c r="C79" s="4">
        <f t="shared" si="3"/>
        <v>6.92282646538977</v>
      </c>
      <c r="D79" s="4">
        <f t="shared" ref="D79:D142" si="8">$B$6*$B$12/9.81*($B$9*SQRT(2/($B$9-1)*(2/($B$9+1))^(($B$9+1)/($B$9-1))*(1 - (A79/$B$3)^(($B$9-1)/$B$9))) + C79/$B$3*(A79 - $E$6))</f>
        <v>183.40296713287592</v>
      </c>
      <c r="E79" s="4">
        <f t="shared" ref="E79:E142" si="9">$B$6*$B$12/9.81*($B$9*SQRT(2/($B$9-1)*(2/($B$9+1))^(($B$9+1)/($B$9-1))*(1 - (A79/$B$3)^(($B$9-1)/$B$9))) + C79/$B$3*(A79 - $E$4))</f>
        <v>182.04265785558098</v>
      </c>
    </row>
    <row r="80" spans="1:5" x14ac:dyDescent="0.4">
      <c r="A80">
        <v>45.75</v>
      </c>
      <c r="B80" s="4">
        <f t="shared" ref="B80:B143" si="10">SQRT(2/($B$9-1)*((A80/$B$3)^((1-$B$9)/$B$9) - 1))</f>
        <v>3.0958872328146447</v>
      </c>
      <c r="C80" s="4">
        <f t="shared" ref="C80:C143" si="11">1/B80*(2/($B$9+1)*(1 + ($B$9-1)/2*B80^2))^(($B$9+1)/(2*$B$9-2))</f>
        <v>6.8953517602815397</v>
      </c>
      <c r="D80" s="4">
        <f t="shared" si="8"/>
        <v>183.45539012307501</v>
      </c>
      <c r="E80" s="4">
        <f t="shared" si="9"/>
        <v>182.1004795216586</v>
      </c>
    </row>
    <row r="81" spans="1:5" x14ac:dyDescent="0.4">
      <c r="A81">
        <v>46</v>
      </c>
      <c r="B81" s="4">
        <f t="shared" si="10"/>
        <v>3.092859891599868</v>
      </c>
      <c r="C81" s="4">
        <f t="shared" si="11"/>
        <v>6.8681411367490091</v>
      </c>
      <c r="D81" s="4">
        <f t="shared" si="8"/>
        <v>183.50695092967626</v>
      </c>
      <c r="E81" s="4">
        <f t="shared" si="9"/>
        <v>182.15738711310522</v>
      </c>
    </row>
    <row r="82" spans="1:5" x14ac:dyDescent="0.4">
      <c r="A82">
        <v>46.25</v>
      </c>
      <c r="B82" s="4">
        <f t="shared" si="10"/>
        <v>3.0898491260073406</v>
      </c>
      <c r="C82" s="4">
        <f t="shared" si="11"/>
        <v>6.8411906366553605</v>
      </c>
      <c r="D82" s="4">
        <f t="shared" si="8"/>
        <v>183.55766395550637</v>
      </c>
      <c r="E82" s="4">
        <f t="shared" si="9"/>
        <v>182.21339581050651</v>
      </c>
    </row>
    <row r="83" spans="1:5" x14ac:dyDescent="0.4">
      <c r="A83">
        <v>46.5</v>
      </c>
      <c r="B83" s="4">
        <f t="shared" si="10"/>
        <v>3.0868547537419229</v>
      </c>
      <c r="C83" s="4">
        <f t="shared" si="11"/>
        <v>6.814496382228536</v>
      </c>
      <c r="D83" s="4">
        <f t="shared" si="8"/>
        <v>183.6075432968666</v>
      </c>
      <c r="E83" s="4">
        <f t="shared" si="9"/>
        <v>182.26852047213134</v>
      </c>
    </row>
    <row r="84" spans="1:5" x14ac:dyDescent="0.4">
      <c r="A84">
        <v>46.75</v>
      </c>
      <c r="B84" s="4">
        <f t="shared" si="10"/>
        <v>3.0838765954863607</v>
      </c>
      <c r="C84" s="4">
        <f t="shared" si="11"/>
        <v>6.7880545740073694</v>
      </c>
      <c r="D84" s="4">
        <f t="shared" si="8"/>
        <v>183.65660275157623</v>
      </c>
      <c r="E84" s="4">
        <f t="shared" si="9"/>
        <v>182.32277564237879</v>
      </c>
    </row>
    <row r="85" spans="1:5" x14ac:dyDescent="0.4">
      <c r="A85">
        <v>47</v>
      </c>
      <c r="B85" s="4">
        <f t="shared" si="10"/>
        <v>3.0809144748369603</v>
      </c>
      <c r="C85" s="4">
        <f t="shared" si="11"/>
        <v>6.7618614888508874</v>
      </c>
      <c r="D85" s="4">
        <f t="shared" si="8"/>
        <v>183.70485582676494</v>
      </c>
      <c r="E85" s="4">
        <f t="shared" si="9"/>
        <v>182.37617555996164</v>
      </c>
    </row>
    <row r="86" spans="1:5" x14ac:dyDescent="0.4">
      <c r="A86">
        <v>47.25</v>
      </c>
      <c r="B86" s="4">
        <f t="shared" si="10"/>
        <v>3.0779682182409793</v>
      </c>
      <c r="C86" s="4">
        <f t="shared" si="11"/>
        <v>6.7359134780085173</v>
      </c>
      <c r="D86" s="4">
        <f t="shared" si="8"/>
        <v>183.75231574642186</v>
      </c>
      <c r="E86" s="4">
        <f t="shared" si="9"/>
        <v>182.42873416583473</v>
      </c>
    </row>
    <row r="87" spans="1:5" x14ac:dyDescent="0.4">
      <c r="A87">
        <v>47.5</v>
      </c>
      <c r="B87" s="4">
        <f t="shared" si="10"/>
        <v>3.0750376549356915</v>
      </c>
      <c r="C87" s="4">
        <f t="shared" si="11"/>
        <v>6.7102069652488998</v>
      </c>
      <c r="D87" s="4">
        <f t="shared" si="8"/>
        <v>183.79899545871208</v>
      </c>
      <c r="E87" s="4">
        <f t="shared" si="9"/>
        <v>182.48046511087921</v>
      </c>
    </row>
    <row r="88" spans="1:5" x14ac:dyDescent="0.4">
      <c r="A88">
        <v>47.75</v>
      </c>
      <c r="B88" s="4">
        <f t="shared" si="10"/>
        <v>3.0721226168890694</v>
      </c>
      <c r="C88" s="4">
        <f t="shared" si="11"/>
        <v>6.684738445045519</v>
      </c>
      <c r="D88" s="4">
        <f t="shared" si="8"/>
        <v>183.84490764306696</v>
      </c>
      <c r="E88" s="4">
        <f t="shared" si="9"/>
        <v>182.53138176334906</v>
      </c>
    </row>
    <row r="89" spans="1:5" x14ac:dyDescent="0.4">
      <c r="A89">
        <v>48</v>
      </c>
      <c r="B89" s="4">
        <f t="shared" si="10"/>
        <v>3.0692229387420293</v>
      </c>
      <c r="C89" s="4">
        <f t="shared" si="11"/>
        <v>6.6595044808168042</v>
      </c>
      <c r="D89" s="4">
        <f t="shared" si="8"/>
        <v>183.89006471705773</v>
      </c>
      <c r="E89" s="4">
        <f t="shared" si="9"/>
        <v>182.58149721609087</v>
      </c>
    </row>
    <row r="90" spans="1:5" x14ac:dyDescent="0.4">
      <c r="A90">
        <v>48.25</v>
      </c>
      <c r="B90" s="4">
        <f t="shared" si="10"/>
        <v>3.0663384577521908</v>
      </c>
      <c r="C90" s="4">
        <f t="shared" si="11"/>
        <v>6.6345017032189988</v>
      </c>
      <c r="D90" s="4">
        <f t="shared" si="8"/>
        <v>183.93447884305917</v>
      </c>
      <c r="E90" s="4">
        <f t="shared" si="9"/>
        <v>182.63082429354279</v>
      </c>
    </row>
    <row r="91" spans="1:5" x14ac:dyDescent="0.4">
      <c r="A91">
        <v>48.5</v>
      </c>
      <c r="B91" s="4">
        <f t="shared" si="10"/>
        <v>3.0634690137391121</v>
      </c>
      <c r="C91" s="4">
        <f t="shared" si="11"/>
        <v>6.6097268084899845</v>
      </c>
      <c r="D91" s="4">
        <f t="shared" si="8"/>
        <v>183.97816193471184</v>
      </c>
      <c r="E91" s="4">
        <f t="shared" si="9"/>
        <v>182.67937555852211</v>
      </c>
    </row>
    <row r="92" spans="1:5" x14ac:dyDescent="0.4">
      <c r="A92">
        <v>48.75</v>
      </c>
      <c r="B92" s="4">
        <f t="shared" si="10"/>
        <v>3.0606144490309379</v>
      </c>
      <c r="C92" s="4">
        <f t="shared" si="11"/>
        <v>6.5851765568420388</v>
      </c>
      <c r="D92" s="4">
        <f t="shared" si="8"/>
        <v>184.02112566318837</v>
      </c>
      <c r="E92" s="4">
        <f t="shared" si="9"/>
        <v>182.72716331880756</v>
      </c>
    </row>
    <row r="93" spans="1:5" x14ac:dyDescent="0.4">
      <c r="A93">
        <v>49</v>
      </c>
      <c r="B93" s="4">
        <f t="shared" si="10"/>
        <v>3.0577746084124313</v>
      </c>
      <c r="C93" s="4">
        <f t="shared" si="11"/>
        <v>6.5608477709021287</v>
      </c>
      <c r="D93" s="4">
        <f t="shared" si="8"/>
        <v>184.06338146327278</v>
      </c>
      <c r="E93" s="4">
        <f t="shared" si="9"/>
        <v>182.77419963352497</v>
      </c>
    </row>
    <row r="94" spans="1:5" x14ac:dyDescent="0.4">
      <c r="A94">
        <v>49.25</v>
      </c>
      <c r="B94" s="4">
        <f t="shared" si="10"/>
        <v>3.0549493390743483</v>
      </c>
      <c r="C94" s="4">
        <f t="shared" si="11"/>
        <v>6.5367373341979382</v>
      </c>
      <c r="D94" s="4">
        <f t="shared" si="8"/>
        <v>184.104940539257</v>
      </c>
      <c r="E94" s="4">
        <f t="shared" si="9"/>
        <v>182.82049631934129</v>
      </c>
    </row>
    <row r="95" spans="1:5" x14ac:dyDescent="0.4">
      <c r="A95">
        <v>49.5</v>
      </c>
      <c r="B95" s="4">
        <f t="shared" si="10"/>
        <v>3.0521384905640931</v>
      </c>
      <c r="C95" s="4">
        <f t="shared" si="11"/>
        <v>6.512842189688036</v>
      </c>
      <c r="D95" s="4">
        <f t="shared" si="8"/>
        <v>184.14581387066326</v>
      </c>
      <c r="E95" s="4">
        <f t="shared" si="9"/>
        <v>182.86606495647587</v>
      </c>
    </row>
    <row r="96" spans="1:5" x14ac:dyDescent="0.4">
      <c r="A96">
        <v>49.75</v>
      </c>
      <c r="B96" s="4">
        <f t="shared" si="10"/>
        <v>3.0493419147376444</v>
      </c>
      <c r="C96" s="4">
        <f t="shared" si="11"/>
        <v>6.4891593383348853</v>
      </c>
      <c r="D96" s="4">
        <f t="shared" si="8"/>
        <v>184.18601221779628</v>
      </c>
      <c r="E96" s="4">
        <f t="shared" si="9"/>
        <v>182.91091689453296</v>
      </c>
    </row>
    <row r="97" spans="1:5" x14ac:dyDescent="0.4">
      <c r="A97">
        <v>50</v>
      </c>
      <c r="B97" s="4">
        <f t="shared" si="10"/>
        <v>3.046559465712682</v>
      </c>
      <c r="C97" s="4">
        <f t="shared" si="11"/>
        <v>6.4656858377188637</v>
      </c>
      <c r="D97" s="4">
        <f t="shared" si="8"/>
        <v>184.2255461271325</v>
      </c>
      <c r="E97" s="4">
        <f t="shared" si="9"/>
        <v>182.95506325816345</v>
      </c>
    </row>
    <row r="98" spans="1:5" x14ac:dyDescent="0.4">
      <c r="A98">
        <v>50.25</v>
      </c>
      <c r="B98" s="4">
        <f t="shared" si="10"/>
        <v>3.0437909998229205</v>
      </c>
      <c r="C98" s="4">
        <f t="shared" si="11"/>
        <v>6.4424188006924359</v>
      </c>
      <c r="D98" s="4">
        <f t="shared" si="8"/>
        <v>184.2644259365517</v>
      </c>
      <c r="E98" s="4">
        <f t="shared" si="9"/>
        <v>182.99851495256061</v>
      </c>
    </row>
    <row r="99" spans="1:5" x14ac:dyDescent="0.4">
      <c r="A99">
        <v>50.5</v>
      </c>
      <c r="B99" s="4">
        <f t="shared" si="10"/>
        <v>3.0410363755735546</v>
      </c>
      <c r="C99" s="4">
        <f t="shared" si="11"/>
        <v>6.4193553940725474</v>
      </c>
      <c r="D99" s="4">
        <f t="shared" si="8"/>
        <v>184.30266178041546</v>
      </c>
      <c r="E99" s="4">
        <f t="shared" si="9"/>
        <v>183.04128266879587</v>
      </c>
    </row>
    <row r="100" spans="1:5" x14ac:dyDescent="0.4">
      <c r="A100">
        <v>50.75</v>
      </c>
      <c r="B100" s="4">
        <f t="shared" si="10"/>
        <v>3.0382954535978475</v>
      </c>
      <c r="C100" s="4">
        <f t="shared" si="11"/>
        <v>6.396492837370495</v>
      </c>
      <c r="D100" s="4">
        <f t="shared" si="8"/>
        <v>184.34026359449896</v>
      </c>
      <c r="E100" s="4">
        <f t="shared" si="9"/>
        <v>183.08337688899988</v>
      </c>
    </row>
    <row r="101" spans="1:5" x14ac:dyDescent="0.4">
      <c r="A101">
        <v>51</v>
      </c>
      <c r="B101" s="4">
        <f t="shared" si="10"/>
        <v>3.0355680966147758</v>
      </c>
      <c r="C101" s="4">
        <f t="shared" si="11"/>
        <v>6.3738284015576285</v>
      </c>
      <c r="D101" s="4">
        <f t="shared" si="8"/>
        <v>184.3772411207801</v>
      </c>
      <c r="E101" s="4">
        <f t="shared" si="9"/>
        <v>183.12480789139443</v>
      </c>
    </row>
    <row r="102" spans="1:5" x14ac:dyDescent="0.4">
      <c r="A102">
        <v>51.25</v>
      </c>
      <c r="B102" s="4">
        <f t="shared" si="10"/>
        <v>3.03285416938773</v>
      </c>
      <c r="C102" s="4">
        <f t="shared" si="11"/>
        <v>6.3513594078659086</v>
      </c>
      <c r="D102" s="4">
        <f t="shared" si="8"/>
        <v>184.41360391209096</v>
      </c>
      <c r="E102" s="4">
        <f t="shared" si="9"/>
        <v>183.16558575517939</v>
      </c>
    </row>
    <row r="103" spans="1:5" x14ac:dyDescent="0.4">
      <c r="A103">
        <v>51.5</v>
      </c>
      <c r="B103" s="4">
        <f t="shared" si="10"/>
        <v>3.0301535386842313</v>
      </c>
      <c r="C103" s="4">
        <f t="shared" si="11"/>
        <v>6.3290832266221502</v>
      </c>
      <c r="D103" s="4">
        <f t="shared" si="8"/>
        <v>184.44936133663663</v>
      </c>
      <c r="E103" s="4">
        <f t="shared" si="9"/>
        <v>183.20572036528071</v>
      </c>
    </row>
    <row r="104" spans="1:5" x14ac:dyDescent="0.4">
      <c r="A104">
        <v>51.75</v>
      </c>
      <c r="B104" s="4">
        <f t="shared" si="10"/>
        <v>3.0274660732366256</v>
      </c>
      <c r="C104" s="4">
        <f t="shared" si="11"/>
        <v>6.306997276114747</v>
      </c>
      <c r="D104" s="4">
        <f t="shared" si="8"/>
        <v>184.4845225823851</v>
      </c>
      <c r="E104" s="4">
        <f t="shared" si="9"/>
        <v>183.24522141696301</v>
      </c>
    </row>
    <row r="105" spans="1:5" x14ac:dyDescent="0.4">
      <c r="A105">
        <v>52</v>
      </c>
      <c r="B105" s="4">
        <f t="shared" si="10"/>
        <v>3.0247916437037445</v>
      </c>
      <c r="C105" s="4">
        <f t="shared" si="11"/>
        <v>6.285099021491968</v>
      </c>
      <c r="D105" s="4">
        <f t="shared" si="8"/>
        <v>184.51909666133295</v>
      </c>
      <c r="E105" s="4">
        <f t="shared" si="9"/>
        <v>183.28409842031155</v>
      </c>
    </row>
    <row r="106" spans="1:5" x14ac:dyDescent="0.4">
      <c r="A106">
        <v>52.25</v>
      </c>
      <c r="B106" s="4">
        <f t="shared" si="10"/>
        <v>3.0221301226334907</v>
      </c>
      <c r="C106" s="4">
        <f t="shared" si="11"/>
        <v>6.2633859736906823</v>
      </c>
      <c r="D106" s="4">
        <f t="shared" si="8"/>
        <v>184.5530924136508</v>
      </c>
      <c r="E106" s="4">
        <f t="shared" si="9"/>
        <v>183.32236070458862</v>
      </c>
    </row>
    <row r="107" spans="1:5" x14ac:dyDescent="0.4">
      <c r="A107">
        <v>52.5</v>
      </c>
      <c r="B107" s="4">
        <f t="shared" si="10"/>
        <v>3.019481384426324</v>
      </c>
      <c r="C107" s="4">
        <f t="shared" si="11"/>
        <v>6.2418556883945522</v>
      </c>
      <c r="D107" s="4">
        <f t="shared" si="8"/>
        <v>184.58651851171257</v>
      </c>
      <c r="E107" s="4">
        <f t="shared" si="9"/>
        <v>183.36001742246691</v>
      </c>
    </row>
    <row r="108" spans="1:5" x14ac:dyDescent="0.4">
      <c r="A108">
        <v>52.75</v>
      </c>
      <c r="B108" s="4">
        <f t="shared" si="10"/>
        <v>3.0168453052996256</v>
      </c>
      <c r="C108" s="4">
        <f t="shared" si="11"/>
        <v>6.2205057650207767</v>
      </c>
      <c r="D108" s="4">
        <f t="shared" si="8"/>
        <v>184.61938346401186</v>
      </c>
      <c r="E108" s="4">
        <f t="shared" si="9"/>
        <v>183.39707755414565</v>
      </c>
    </row>
    <row r="109" spans="1:5" x14ac:dyDescent="0.4">
      <c r="A109">
        <v>53</v>
      </c>
      <c r="B109" s="4">
        <f t="shared" si="10"/>
        <v>3.0142217632529151</v>
      </c>
      <c r="C109" s="4">
        <f t="shared" si="11"/>
        <v>6.1993338457345217</v>
      </c>
      <c r="D109" s="4">
        <f t="shared" si="8"/>
        <v>184.65169561897005</v>
      </c>
      <c r="E109" s="4">
        <f t="shared" si="9"/>
        <v>183.43354991135175</v>
      </c>
    </row>
    <row r="110" spans="1:5" x14ac:dyDescent="0.4">
      <c r="A110">
        <v>53.25</v>
      </c>
      <c r="B110" s="4">
        <f t="shared" si="10"/>
        <v>3.0116106380338907</v>
      </c>
      <c r="C110" s="4">
        <f t="shared" si="11"/>
        <v>6.1783376144900037</v>
      </c>
      <c r="D110" s="4">
        <f t="shared" si="8"/>
        <v>184.68346316863816</v>
      </c>
      <c r="E110" s="4">
        <f t="shared" si="9"/>
        <v>183.46944314123053</v>
      </c>
    </row>
    <row r="111" spans="1:5" x14ac:dyDescent="0.4">
      <c r="A111">
        <v>53.5</v>
      </c>
      <c r="B111" s="4">
        <f t="shared" si="10"/>
        <v>3.0090118111052777</v>
      </c>
      <c r="C111" s="4">
        <f t="shared" si="11"/>
        <v>6.1575147960975025</v>
      </c>
      <c r="D111" s="4">
        <f t="shared" si="8"/>
        <v>184.71469415229791</v>
      </c>
      <c r="E111" s="4">
        <f t="shared" si="9"/>
        <v>183.50476573012986</v>
      </c>
    </row>
    <row r="112" spans="1:5" x14ac:dyDescent="0.4">
      <c r="A112">
        <v>53.75</v>
      </c>
      <c r="B112" s="4">
        <f t="shared" si="10"/>
        <v>3.006425165612451</v>
      </c>
      <c r="C112" s="4">
        <f t="shared" si="11"/>
        <v>6.1368631553155151</v>
      </c>
      <c r="D112" s="4">
        <f t="shared" si="8"/>
        <v>184.74539645996279</v>
      </c>
      <c r="E112" s="4">
        <f t="shared" si="9"/>
        <v>183.53952600727982</v>
      </c>
    </row>
    <row r="113" spans="1:5" x14ac:dyDescent="0.4">
      <c r="A113">
        <v>54</v>
      </c>
      <c r="B113" s="4">
        <f t="shared" si="10"/>
        <v>3.0038505863518234</v>
      </c>
      <c r="C113" s="4">
        <f t="shared" si="11"/>
        <v>6.1163804959670598</v>
      </c>
      <c r="D113" s="4">
        <f t="shared" si="8"/>
        <v>184.7755778357847</v>
      </c>
      <c r="E113" s="4">
        <f t="shared" si="9"/>
        <v>183.57373214837281</v>
      </c>
    </row>
    <row r="114" spans="1:5" x14ac:dyDescent="0.4">
      <c r="A114">
        <v>54.25</v>
      </c>
      <c r="B114" s="4">
        <f t="shared" si="10"/>
        <v>3.0012879597399702</v>
      </c>
      <c r="C114" s="4">
        <f t="shared" si="11"/>
        <v>6.0960646600797332</v>
      </c>
      <c r="D114" s="4">
        <f t="shared" si="8"/>
        <v>184.80524588136711</v>
      </c>
      <c r="E114" s="4">
        <f t="shared" si="9"/>
        <v>183.60739217904566</v>
      </c>
    </row>
    <row r="115" spans="1:5" x14ac:dyDescent="0.4">
      <c r="A115">
        <v>54.5</v>
      </c>
      <c r="B115" s="4">
        <f t="shared" si="10"/>
        <v>2.9987371737834652</v>
      </c>
      <c r="C115" s="4">
        <f t="shared" si="11"/>
        <v>6.0759135270483391</v>
      </c>
      <c r="D115" s="4">
        <f t="shared" si="8"/>
        <v>184.8344080589894</v>
      </c>
      <c r="E115" s="4">
        <f t="shared" si="9"/>
        <v>183.64051397826864</v>
      </c>
    </row>
    <row r="116" spans="1:5" x14ac:dyDescent="0.4">
      <c r="A116">
        <v>54.75</v>
      </c>
      <c r="B116" s="4">
        <f t="shared" si="10"/>
        <v>2.9961981180494215</v>
      </c>
      <c r="C116" s="4">
        <f t="shared" si="11"/>
        <v>6.0559250128197588</v>
      </c>
      <c r="D116" s="4">
        <f t="shared" si="8"/>
        <v>184.86307169474352</v>
      </c>
      <c r="E116" s="4">
        <f t="shared" si="9"/>
        <v>183.67310528164242</v>
      </c>
    </row>
    <row r="117" spans="1:5" x14ac:dyDescent="0.4">
      <c r="A117">
        <v>55</v>
      </c>
      <c r="B117" s="4">
        <f t="shared" si="10"/>
        <v>2.9936706836367066</v>
      </c>
      <c r="C117" s="4">
        <f t="shared" si="11"/>
        <v>6.0360970690991973</v>
      </c>
      <c r="D117" s="4">
        <f t="shared" si="8"/>
        <v>184.89124398158773</v>
      </c>
      <c r="E117" s="4">
        <f t="shared" si="9"/>
        <v>183.70517368460739</v>
      </c>
    </row>
    <row r="118" spans="1:5" x14ac:dyDescent="0.4">
      <c r="A118">
        <v>55.25</v>
      </c>
      <c r="B118" s="4">
        <f t="shared" si="10"/>
        <v>2.991154763147815</v>
      </c>
      <c r="C118" s="4">
        <f t="shared" si="11"/>
        <v>6.0164276825771879</v>
      </c>
      <c r="D118" s="4">
        <f t="shared" si="8"/>
        <v>184.91893198231739</v>
      </c>
      <c r="E118" s="4">
        <f t="shared" si="9"/>
        <v>183.73672664556653</v>
      </c>
    </row>
    <row r="119" spans="1:5" x14ac:dyDescent="0.4">
      <c r="A119">
        <v>55.5</v>
      </c>
      <c r="B119" s="4">
        <f t="shared" si="10"/>
        <v>2.9886502506613883</v>
      </c>
      <c r="C119" s="4">
        <f t="shared" si="11"/>
        <v>5.9969148741767029</v>
      </c>
      <c r="D119" s="4">
        <f t="shared" si="8"/>
        <v>184.94614263245819</v>
      </c>
      <c r="E119" s="4">
        <f t="shared" si="9"/>
        <v>183.76777148892683</v>
      </c>
    </row>
    <row r="120" spans="1:5" x14ac:dyDescent="0.4">
      <c r="A120">
        <v>55.75</v>
      </c>
      <c r="B120" s="4">
        <f t="shared" si="10"/>
        <v>2.9861570417053533</v>
      </c>
      <c r="C120" s="4">
        <f t="shared" si="11"/>
        <v>5.9775566983198223</v>
      </c>
      <c r="D120" s="4">
        <f t="shared" si="8"/>
        <v>184.97288274308178</v>
      </c>
      <c r="E120" s="4">
        <f t="shared" si="9"/>
        <v>183.79831540805861</v>
      </c>
    </row>
    <row r="121" spans="1:5" x14ac:dyDescent="0.4">
      <c r="A121">
        <v>56</v>
      </c>
      <c r="B121" s="4">
        <f t="shared" si="10"/>
        <v>2.9836750332306705</v>
      </c>
      <c r="C121" s="4">
        <f t="shared" si="11"/>
        <v>5.9583512422132792</v>
      </c>
      <c r="D121" s="4">
        <f t="shared" si="8"/>
        <v>184.99915900354802</v>
      </c>
      <c r="E121" s="4">
        <f t="shared" si="9"/>
        <v>183.82836546817833</v>
      </c>
    </row>
    <row r="122" spans="1:5" x14ac:dyDescent="0.4">
      <c r="A122">
        <v>56.25</v>
      </c>
      <c r="B122" s="4">
        <f t="shared" si="10"/>
        <v>2.9812041235856697</v>
      </c>
      <c r="C122" s="4">
        <f t="shared" si="11"/>
        <v>5.9392966251523296</v>
      </c>
      <c r="D122" s="4">
        <f t="shared" si="8"/>
        <v>185.02497798417485</v>
      </c>
      <c r="E122" s="4">
        <f t="shared" si="9"/>
        <v>183.85792860915544</v>
      </c>
    </row>
    <row r="123" spans="1:5" x14ac:dyDescent="0.4">
      <c r="A123">
        <v>56.5</v>
      </c>
      <c r="B123" s="4">
        <f t="shared" si="10"/>
        <v>2.978744212490966</v>
      </c>
      <c r="C123" s="4">
        <f t="shared" si="11"/>
        <v>5.9203909978425626</v>
      </c>
      <c r="D123" s="4">
        <f t="shared" si="8"/>
        <v>185.05034613883848</v>
      </c>
      <c r="E123" s="4">
        <f t="shared" si="9"/>
        <v>183.88701164824539</v>
      </c>
    </row>
    <row r="124" spans="1:5" x14ac:dyDescent="0.4">
      <c r="A124">
        <v>56.75</v>
      </c>
      <c r="B124" s="4">
        <f t="shared" si="10"/>
        <v>2.9762952010149322</v>
      </c>
      <c r="C124" s="4">
        <f t="shared" si="11"/>
        <v>5.901632541738798</v>
      </c>
      <c r="D124" s="4">
        <f t="shared" si="8"/>
        <v>185.07526980750637</v>
      </c>
      <c r="E124" s="4">
        <f t="shared" si="9"/>
        <v>183.91562128275299</v>
      </c>
    </row>
    <row r="125" spans="1:5" x14ac:dyDescent="0.4">
      <c r="A125">
        <v>57</v>
      </c>
      <c r="B125" s="4">
        <f t="shared" si="10"/>
        <v>2.9738569915497113</v>
      </c>
      <c r="C125" s="4">
        <f t="shared" si="11"/>
        <v>5.8830194684008319</v>
      </c>
      <c r="D125" s="4">
        <f t="shared" si="8"/>
        <v>185.09975521870405</v>
      </c>
      <c r="E125" s="4">
        <f t="shared" si="9"/>
        <v>183.94376409262551</v>
      </c>
    </row>
    <row r="126" spans="1:5" x14ac:dyDescent="0.4">
      <c r="A126">
        <v>57.25</v>
      </c>
      <c r="B126" s="4">
        <f t="shared" si="10"/>
        <v>2.9714294877877707</v>
      </c>
      <c r="C126" s="4">
        <f t="shared" si="11"/>
        <v>5.8645500188654971</v>
      </c>
      <c r="D126" s="4">
        <f t="shared" si="8"/>
        <v>185.12380849191882</v>
      </c>
      <c r="E126" s="4">
        <f t="shared" si="9"/>
        <v>183.97144654297986</v>
      </c>
    </row>
    <row r="127" spans="1:5" x14ac:dyDescent="0.4">
      <c r="A127">
        <v>57.5</v>
      </c>
      <c r="B127" s="4">
        <f t="shared" si="10"/>
        <v>2.9690125946989578</v>
      </c>
      <c r="C127" s="4">
        <f t="shared" si="11"/>
        <v>5.8462224630343291</v>
      </c>
      <c r="D127" s="4">
        <f t="shared" si="8"/>
        <v>185.14743563994165</v>
      </c>
      <c r="E127" s="4">
        <f t="shared" si="9"/>
        <v>183.99867498656479</v>
      </c>
    </row>
    <row r="128" spans="1:5" x14ac:dyDescent="0.4">
      <c r="A128">
        <v>57.75</v>
      </c>
      <c r="B128" s="4">
        <f t="shared" si="10"/>
        <v>2.9666062185080739</v>
      </c>
      <c r="C128" s="4">
        <f t="shared" si="11"/>
        <v>5.8280350990767866</v>
      </c>
      <c r="D128" s="4">
        <f t="shared" si="8"/>
        <v>185.17064257114899</v>
      </c>
      <c r="E128" s="4">
        <f t="shared" si="9"/>
        <v>184.02545566616013</v>
      </c>
    </row>
    <row r="129" spans="1:5" x14ac:dyDescent="0.4">
      <c r="A129">
        <v>58</v>
      </c>
      <c r="B129" s="4">
        <f t="shared" si="10"/>
        <v>2.9642102666729206</v>
      </c>
      <c r="C129" s="4">
        <f t="shared" si="11"/>
        <v>5.809986252848085</v>
      </c>
      <c r="D129" s="4">
        <f t="shared" si="8"/>
        <v>185.19343509172685</v>
      </c>
      <c r="E129" s="4">
        <f t="shared" si="9"/>
        <v>184.051794716915</v>
      </c>
    </row>
    <row r="130" spans="1:5" x14ac:dyDescent="0.4">
      <c r="A130">
        <v>58.25</v>
      </c>
      <c r="B130" s="4">
        <f t="shared" si="10"/>
        <v>2.9618246478628416</v>
      </c>
      <c r="C130" s="4">
        <f t="shared" si="11"/>
        <v>5.7920742773217029</v>
      </c>
      <c r="D130" s="4">
        <f t="shared" si="8"/>
        <v>185.2158189078383</v>
      </c>
      <c r="E130" s="4">
        <f t="shared" si="9"/>
        <v>184.07769816862685</v>
      </c>
    </row>
    <row r="131" spans="1:5" x14ac:dyDescent="0.4">
      <c r="A131">
        <v>58.5</v>
      </c>
      <c r="B131" s="4">
        <f t="shared" si="10"/>
        <v>2.9594492719377126</v>
      </c>
      <c r="C131" s="4">
        <f t="shared" si="11"/>
        <v>5.7742975520357227</v>
      </c>
      <c r="D131" s="4">
        <f t="shared" si="8"/>
        <v>185.23779962773636</v>
      </c>
      <c r="E131" s="4">
        <f t="shared" si="9"/>
        <v>184.10317194796349</v>
      </c>
    </row>
    <row r="132" spans="1:5" x14ac:dyDescent="0.4">
      <c r="A132">
        <v>58.75</v>
      </c>
      <c r="B132" s="4">
        <f t="shared" si="10"/>
        <v>2.9570840499273889</v>
      </c>
      <c r="C132" s="4">
        <f t="shared" si="11"/>
        <v>5.7566544825528707</v>
      </c>
      <c r="D132" s="4">
        <f t="shared" si="8"/>
        <v>185.25938276382377</v>
      </c>
      <c r="E132" s="4">
        <f t="shared" si="9"/>
        <v>184.12822188062844</v>
      </c>
    </row>
    <row r="133" spans="1:5" x14ac:dyDescent="0.4">
      <c r="A133">
        <v>59</v>
      </c>
      <c r="B133" s="4">
        <f t="shared" si="10"/>
        <v>2.9547288940116028</v>
      </c>
      <c r="C133" s="4">
        <f t="shared" si="11"/>
        <v>5.7391434999338014</v>
      </c>
      <c r="D133" s="4">
        <f t="shared" si="8"/>
        <v>185.28057373466098</v>
      </c>
      <c r="E133" s="4">
        <f t="shared" si="9"/>
        <v>184.15285369347296</v>
      </c>
    </row>
    <row r="134" spans="1:5" x14ac:dyDescent="0.4">
      <c r="A134">
        <v>59.25</v>
      </c>
      <c r="B134" s="4">
        <f t="shared" si="10"/>
        <v>2.9523837175002745</v>
      </c>
      <c r="C134" s="4">
        <f t="shared" si="11"/>
        <v>5.7217630602231608</v>
      </c>
      <c r="D134" s="4">
        <f t="shared" si="8"/>
        <v>185.30137786692461</v>
      </c>
      <c r="E134" s="4">
        <f t="shared" si="9"/>
        <v>184.177073016555</v>
      </c>
    </row>
    <row r="135" spans="1:5" x14ac:dyDescent="0.4">
      <c r="A135">
        <v>59.5</v>
      </c>
      <c r="B135" s="4">
        <f t="shared" si="10"/>
        <v>2.9500484348142555</v>
      </c>
      <c r="C135" s="4">
        <f t="shared" si="11"/>
        <v>5.704511643948166</v>
      </c>
      <c r="D135" s="4">
        <f t="shared" si="8"/>
        <v>185.32180039731682</v>
      </c>
      <c r="E135" s="4">
        <f t="shared" si="9"/>
        <v>184.20088538514733</v>
      </c>
    </row>
    <row r="136" spans="1:5" x14ac:dyDescent="0.4">
      <c r="A136">
        <v>59.75</v>
      </c>
      <c r="B136" s="4">
        <f t="shared" si="10"/>
        <v>2.9477229614664706</v>
      </c>
      <c r="C136" s="4">
        <f t="shared" si="11"/>
        <v>5.6873877556292918</v>
      </c>
      <c r="D136" s="4">
        <f t="shared" si="8"/>
        <v>185.34184647442757</v>
      </c>
      <c r="E136" s="4">
        <f t="shared" si="9"/>
        <v>184.22429624169609</v>
      </c>
    </row>
    <row r="137" spans="1:5" x14ac:dyDescent="0.4">
      <c r="A137">
        <v>60</v>
      </c>
      <c r="B137" s="4">
        <f t="shared" si="10"/>
        <v>2.9454072140434624</v>
      </c>
      <c r="C137" s="4">
        <f t="shared" si="11"/>
        <v>5.6703899233027668</v>
      </c>
      <c r="D137" s="4">
        <f t="shared" si="8"/>
        <v>185.3615211605514</v>
      </c>
      <c r="E137" s="4">
        <f t="shared" si="9"/>
        <v>184.24731093773107</v>
      </c>
    </row>
    <row r="138" spans="1:5" x14ac:dyDescent="0.4">
      <c r="A138">
        <v>60.25</v>
      </c>
      <c r="B138" s="4">
        <f t="shared" si="10"/>
        <v>2.9431011101873223</v>
      </c>
      <c r="C138" s="4">
        <f t="shared" si="11"/>
        <v>5.6535166980544922</v>
      </c>
      <c r="D138" s="4">
        <f t="shared" si="8"/>
        <v>185.38082943345907</v>
      </c>
      <c r="E138" s="4">
        <f t="shared" si="9"/>
        <v>184.26993473572924</v>
      </c>
    </row>
    <row r="139" spans="1:5" x14ac:dyDescent="0.4">
      <c r="A139">
        <v>60.5</v>
      </c>
      <c r="B139" s="4">
        <f t="shared" si="10"/>
        <v>2.9408045685779993</v>
      </c>
      <c r="C139" s="4">
        <f t="shared" si="11"/>
        <v>5.6367666535650747</v>
      </c>
      <c r="D139" s="4">
        <f t="shared" si="8"/>
        <v>185.39977618812617</v>
      </c>
      <c r="E139" s="4">
        <f t="shared" si="9"/>
        <v>184.29217281093253</v>
      </c>
    </row>
    <row r="140" spans="1:5" x14ac:dyDescent="0.4">
      <c r="A140">
        <v>60.75</v>
      </c>
      <c r="B140" s="4">
        <f t="shared" si="10"/>
        <v>2.9385175089159752</v>
      </c>
      <c r="C140" s="4">
        <f t="shared" si="11"/>
        <v>5.6201383856657525</v>
      </c>
      <c r="D140" s="4">
        <f t="shared" si="8"/>
        <v>185.41836623842011</v>
      </c>
      <c r="E140" s="4">
        <f t="shared" si="9"/>
        <v>184.31403025312221</v>
      </c>
    </row>
    <row r="141" spans="1:5" x14ac:dyDescent="0.4">
      <c r="A141">
        <v>61</v>
      </c>
      <c r="B141" s="4">
        <f t="shared" si="10"/>
        <v>2.9362398519053037</v>
      </c>
      <c r="C141" s="4">
        <f t="shared" si="11"/>
        <v>5.6036305119047221</v>
      </c>
      <c r="D141" s="4">
        <f t="shared" si="8"/>
        <v>185.43660431874551</v>
      </c>
      <c r="E141" s="4">
        <f t="shared" si="9"/>
        <v>184.33551206834954</v>
      </c>
    </row>
    <row r="142" spans="1:5" x14ac:dyDescent="0.4">
      <c r="A142">
        <v>61.25</v>
      </c>
      <c r="B142" s="4">
        <f t="shared" si="10"/>
        <v>2.9339715192369962</v>
      </c>
      <c r="C142" s="4">
        <f t="shared" si="11"/>
        <v>5.5872416711238371</v>
      </c>
      <c r="D142" s="4">
        <f t="shared" si="8"/>
        <v>185.45449508565054</v>
      </c>
      <c r="E142" s="4">
        <f t="shared" si="9"/>
        <v>184.35662318062504</v>
      </c>
    </row>
    <row r="143" spans="1:5" x14ac:dyDescent="0.4">
      <c r="A143">
        <v>61.5</v>
      </c>
      <c r="B143" s="4">
        <f t="shared" si="10"/>
        <v>2.9317124335727476</v>
      </c>
      <c r="C143" s="4">
        <f t="shared" si="11"/>
        <v>5.5709705230450721</v>
      </c>
      <c r="D143" s="4">
        <f t="shared" ref="D143:D206" si="12">$B$6*$B$12/9.81*($B$9*SQRT(2/($B$9-1)*(2/($B$9+1))^(($B$9+1)/($B$9-1))*(1 - (A143/$B$3)^(($B$9-1)/$B$9))) + C143/$B$3*(A143 - $E$6))</f>
        <v>185.47204311939404</v>
      </c>
      <c r="E143" s="4">
        <f t="shared" ref="E143:E206" si="13">$B$6*$B$12/9.81*($B$9*SQRT(2/($B$9-1)*(2/($B$9+1))^(($B$9+1)/($B$9-1))*(1 - (A143/$B$3)^(($B$9-1)/$B$9))) + C143/$B$3*(A143 - $E$4))</f>
        <v>184.37736843356714</v>
      </c>
    </row>
    <row r="144" spans="1:5" x14ac:dyDescent="0.4">
      <c r="A144">
        <v>61.75</v>
      </c>
      <c r="B144" s="4">
        <f t="shared" ref="B144:B207" si="14">SQRT(2/($B$9-1)*((A144/$B$3)^((1-$B$9)/$B$9) - 1))</f>
        <v>2.9294625185290033</v>
      </c>
      <c r="C144" s="4">
        <f t="shared" ref="C144:C207" si="15">1/B144*(2/($B$9+1)*(1 + ($B$9-1)/2*B144^2))^(($B$9+1)/(2*$B$9-2))</f>
        <v>5.55481574786688</v>
      </c>
      <c r="D144" s="4">
        <f t="shared" si="12"/>
        <v>185.48925292547577</v>
      </c>
      <c r="E144" s="4">
        <f t="shared" si="13"/>
        <v>184.39775259201164</v>
      </c>
    </row>
    <row r="145" spans="1:5" x14ac:dyDescent="0.4">
      <c r="A145">
        <v>62</v>
      </c>
      <c r="B145" s="4">
        <f t="shared" si="14"/>
        <v>2.9272216986613437</v>
      </c>
      <c r="C145" s="4">
        <f t="shared" si="15"/>
        <v>5.538776045869727</v>
      </c>
      <c r="D145" s="4">
        <f t="shared" si="12"/>
        <v>185.50612893612944</v>
      </c>
      <c r="E145" s="4">
        <f t="shared" si="13"/>
        <v>184.41778034358225</v>
      </c>
    </row>
    <row r="146" spans="1:5" x14ac:dyDescent="0.4">
      <c r="A146">
        <v>62.25</v>
      </c>
      <c r="B146" s="4">
        <f t="shared" si="14"/>
        <v>2.9249898994491854</v>
      </c>
      <c r="C146" s="4">
        <f t="shared" si="15"/>
        <v>5.5228501370309484</v>
      </c>
      <c r="D146" s="4">
        <f t="shared" si="12"/>
        <v>185.52267551178124</v>
      </c>
      <c r="E146" s="4">
        <f t="shared" si="13"/>
        <v>184.43745630022477</v>
      </c>
    </row>
    <row r="147" spans="1:5" x14ac:dyDescent="0.4">
      <c r="A147">
        <v>62.5</v>
      </c>
      <c r="B147" s="4">
        <f t="shared" si="14"/>
        <v>2.9227670472808023</v>
      </c>
      <c r="C147" s="4">
        <f t="shared" si="15"/>
        <v>5.5070367606484307</v>
      </c>
      <c r="D147" s="4">
        <f t="shared" si="12"/>
        <v>185.53889694247283</v>
      </c>
      <c r="E147" s="4">
        <f t="shared" si="13"/>
        <v>184.45678499970398</v>
      </c>
    </row>
    <row r="148" spans="1:5" x14ac:dyDescent="0.4">
      <c r="A148">
        <v>62.75</v>
      </c>
      <c r="B148" s="4">
        <f t="shared" si="14"/>
        <v>2.9205530694386361</v>
      </c>
      <c r="C148" s="4">
        <f t="shared" si="15"/>
        <v>5.491334674972995</v>
      </c>
      <c r="D148" s="4">
        <f t="shared" si="12"/>
        <v>185.55479744925123</v>
      </c>
      <c r="E148" s="4">
        <f t="shared" si="13"/>
        <v>184.47577090706613</v>
      </c>
    </row>
    <row r="149" spans="1:5" x14ac:dyDescent="0.4">
      <c r="A149">
        <v>63</v>
      </c>
      <c r="B149" s="4">
        <f t="shared" si="14"/>
        <v>2.9183478940849077</v>
      </c>
      <c r="C149" s="4">
        <f t="shared" si="15"/>
        <v>5.4757426568491301</v>
      </c>
      <c r="D149" s="4">
        <f t="shared" si="12"/>
        <v>185.57038118552663</v>
      </c>
      <c r="E149" s="4">
        <f t="shared" si="13"/>
        <v>184.49441841606668</v>
      </c>
    </row>
    <row r="150" spans="1:5" x14ac:dyDescent="0.4">
      <c r="A150">
        <v>63.25</v>
      </c>
      <c r="B150" s="4">
        <f t="shared" si="14"/>
        <v>2.9161514502475194</v>
      </c>
      <c r="C150" s="4">
        <f t="shared" si="15"/>
        <v>5.4602595013640656</v>
      </c>
      <c r="D150" s="4">
        <f t="shared" si="12"/>
        <v>185.58565223839753</v>
      </c>
      <c r="E150" s="4">
        <f t="shared" si="13"/>
        <v>184.51273185056499</v>
      </c>
    </row>
    <row r="151" spans="1:5" x14ac:dyDescent="0.4">
      <c r="A151">
        <v>63.5</v>
      </c>
      <c r="B151" s="4">
        <f t="shared" si="14"/>
        <v>2.9139636678062324</v>
      </c>
      <c r="C151" s="4">
        <f t="shared" si="15"/>
        <v>5.444884021504695</v>
      </c>
      <c r="D151" s="4">
        <f t="shared" si="12"/>
        <v>185.60061462994531</v>
      </c>
      <c r="E151" s="4">
        <f t="shared" si="13"/>
        <v>184.53071546588609</v>
      </c>
    </row>
    <row r="152" spans="1:5" x14ac:dyDescent="0.4">
      <c r="A152">
        <v>63.75</v>
      </c>
      <c r="B152" s="4">
        <f t="shared" si="14"/>
        <v>2.9117844774791193</v>
      </c>
      <c r="C152" s="4">
        <f t="shared" si="15"/>
        <v>5.4296150478223515</v>
      </c>
      <c r="D152" s="4">
        <f t="shared" si="12"/>
        <v>185.61527231849931</v>
      </c>
      <c r="E152" s="4">
        <f t="shared" si="13"/>
        <v>184.54837345015144</v>
      </c>
    </row>
    <row r="153" spans="1:5" x14ac:dyDescent="0.4">
      <c r="A153">
        <v>64</v>
      </c>
      <c r="B153" s="4">
        <f t="shared" si="14"/>
        <v>2.9096138108092879</v>
      </c>
      <c r="C153" s="4">
        <f t="shared" si="15"/>
        <v>5.4144514281051253</v>
      </c>
      <c r="D153" s="4">
        <f t="shared" si="12"/>
        <v>185.62962919987163</v>
      </c>
      <c r="E153" s="4">
        <f t="shared" si="13"/>
        <v>184.56570992557857</v>
      </c>
    </row>
    <row r="154" spans="1:5" x14ac:dyDescent="0.4">
      <c r="A154">
        <v>64.25</v>
      </c>
      <c r="B154" s="4">
        <f t="shared" si="14"/>
        <v>2.9074516001518638</v>
      </c>
      <c r="C154" s="4">
        <f t="shared" si="15"/>
        <v>5.3993920270575382</v>
      </c>
      <c r="D154" s="4">
        <f t="shared" si="12"/>
        <v>185.64368910856467</v>
      </c>
      <c r="E154" s="4">
        <f t="shared" si="13"/>
        <v>184.58272894975113</v>
      </c>
    </row>
    <row r="155" spans="1:5" x14ac:dyDescent="0.4">
      <c r="A155">
        <v>64.5</v>
      </c>
      <c r="B155" s="4">
        <f t="shared" si="14"/>
        <v>2.9052977786612297</v>
      </c>
      <c r="C155" s="4">
        <f t="shared" si="15"/>
        <v>5.3844357259874318</v>
      </c>
      <c r="D155" s="4">
        <f t="shared" si="12"/>
        <v>185.65745581895001</v>
      </c>
      <c r="E155" s="4">
        <f t="shared" si="13"/>
        <v>184.59943451685945</v>
      </c>
    </row>
    <row r="156" spans="1:5" x14ac:dyDescent="0.4">
      <c r="A156">
        <v>64.75</v>
      </c>
      <c r="B156" s="4">
        <f t="shared" si="14"/>
        <v>2.9031522802785084</v>
      </c>
      <c r="C156" s="4">
        <f t="shared" si="15"/>
        <v>5.3695814224997687</v>
      </c>
      <c r="D156" s="4">
        <f t="shared" si="12"/>
        <v>185.67093304642066</v>
      </c>
      <c r="E156" s="4">
        <f t="shared" si="13"/>
        <v>184.61583055891296</v>
      </c>
    </row>
    <row r="157" spans="1:5" x14ac:dyDescent="0.4">
      <c r="A157">
        <v>65</v>
      </c>
      <c r="B157" s="4">
        <f t="shared" si="14"/>
        <v>2.9010150397193009</v>
      </c>
      <c r="C157" s="4">
        <f t="shared" si="15"/>
        <v>5.3548280301973303</v>
      </c>
      <c r="D157" s="4">
        <f t="shared" si="12"/>
        <v>185.68412444851737</v>
      </c>
      <c r="E157" s="4">
        <f t="shared" si="13"/>
        <v>184.63192094692545</v>
      </c>
    </row>
    <row r="158" spans="1:5" x14ac:dyDescent="0.4">
      <c r="A158">
        <v>65.25</v>
      </c>
      <c r="B158" s="4">
        <f t="shared" si="14"/>
        <v>2.8988859924616506</v>
      </c>
      <c r="C158" s="4">
        <f t="shared" si="15"/>
        <v>5.340174478387965</v>
      </c>
      <c r="D158" s="4">
        <f t="shared" si="12"/>
        <v>185.69703362602885</v>
      </c>
      <c r="E158" s="4">
        <f t="shared" si="13"/>
        <v>184.64770949207255</v>
      </c>
    </row>
    <row r="159" spans="1:5" x14ac:dyDescent="0.4">
      <c r="A159">
        <v>65.5</v>
      </c>
      <c r="B159" s="4">
        <f t="shared" si="14"/>
        <v>2.8967650747342457</v>
      </c>
      <c r="C159" s="4">
        <f t="shared" si="15"/>
        <v>5.3256197117983186</v>
      </c>
      <c r="D159" s="4">
        <f t="shared" si="12"/>
        <v>185.7096641240677</v>
      </c>
      <c r="E159" s="4">
        <f t="shared" si="13"/>
        <v>184.66319994682416</v>
      </c>
    </row>
    <row r="160" spans="1:5" x14ac:dyDescent="0.4">
      <c r="A160">
        <v>65.75</v>
      </c>
      <c r="B160" s="4">
        <f t="shared" si="14"/>
        <v>2.894652223504846</v>
      </c>
      <c r="C160" s="4">
        <f t="shared" si="15"/>
        <v>5.31116269029385</v>
      </c>
      <c r="D160" s="4">
        <f t="shared" si="12"/>
        <v>185.72201943312152</v>
      </c>
      <c r="E160" s="4">
        <f t="shared" si="13"/>
        <v>184.67839600605026</v>
      </c>
    </row>
    <row r="161" spans="1:6" x14ac:dyDescent="0.4">
      <c r="A161">
        <v>66</v>
      </c>
      <c r="B161" s="4">
        <f t="shared" si="14"/>
        <v>2.8925473764689378</v>
      </c>
      <c r="C161" s="4">
        <f t="shared" si="15"/>
        <v>5.2968023886050215</v>
      </c>
      <c r="D161" s="4">
        <f t="shared" si="12"/>
        <v>185.73410299008083</v>
      </c>
      <c r="E161" s="4">
        <f t="shared" si="13"/>
        <v>184.69330130810314</v>
      </c>
    </row>
    <row r="162" spans="1:6" x14ac:dyDescent="0.4">
      <c r="A162">
        <v>66.25</v>
      </c>
      <c r="B162" s="4">
        <f t="shared" si="14"/>
        <v>2.8904504720385944</v>
      </c>
      <c r="C162" s="4">
        <f t="shared" si="15"/>
        <v>5.2825377960593594</v>
      </c>
      <c r="D162" s="4">
        <f t="shared" si="12"/>
        <v>185.74591817924414</v>
      </c>
      <c r="E162" s="4">
        <f t="shared" si="13"/>
        <v>184.70791943587452</v>
      </c>
    </row>
    <row r="163" spans="1:6" x14ac:dyDescent="0.4">
      <c r="A163">
        <v>66.5</v>
      </c>
      <c r="B163" s="4">
        <f t="shared" si="14"/>
        <v>2.8883614493315588</v>
      </c>
      <c r="C163" s="4">
        <f t="shared" si="15"/>
        <v>5.2683679163194244</v>
      </c>
      <c r="D163" s="4">
        <f t="shared" si="12"/>
        <v>185.75746833329998</v>
      </c>
      <c r="E163" s="4">
        <f t="shared" si="13"/>
        <v>184.72225391782948</v>
      </c>
    </row>
    <row r="164" spans="1:6" x14ac:dyDescent="0.4">
      <c r="A164">
        <v>66.75</v>
      </c>
      <c r="B164" s="4">
        <f t="shared" si="14"/>
        <v>2.8862802481605256</v>
      </c>
      <c r="C164" s="4">
        <f t="shared" si="15"/>
        <v>5.2542917671264062</v>
      </c>
      <c r="D164" s="4">
        <f t="shared" si="12"/>
        <v>185.76875673428793</v>
      </c>
      <c r="E164" s="4">
        <f t="shared" si="13"/>
        <v>184.73630822901777</v>
      </c>
    </row>
    <row r="165" spans="1:6" x14ac:dyDescent="0.4">
      <c r="A165">
        <v>67</v>
      </c>
      <c r="B165" s="4">
        <f t="shared" si="14"/>
        <v>2.8842068090226323</v>
      </c>
      <c r="C165" s="4">
        <f t="shared" si="15"/>
        <v>5.2403083800492647</v>
      </c>
      <c r="D165" s="4">
        <f t="shared" si="12"/>
        <v>185.77978661453776</v>
      </c>
      <c r="E165" s="4">
        <f t="shared" si="13"/>
        <v>184.75008579206221</v>
      </c>
    </row>
    <row r="166" spans="1:6" x14ac:dyDescent="0.4">
      <c r="A166">
        <v>67.25</v>
      </c>
      <c r="B166" s="4">
        <f t="shared" si="14"/>
        <v>2.8821410730891426</v>
      </c>
      <c r="C166" s="4">
        <f t="shared" si="15"/>
        <v>5.2264168002392619</v>
      </c>
      <c r="D166" s="4">
        <f t="shared" si="12"/>
        <v>185.79056115758831</v>
      </c>
      <c r="E166" s="4">
        <f t="shared" si="13"/>
        <v>184.76358997812582</v>
      </c>
    </row>
    <row r="167" spans="1:6" x14ac:dyDescent="0.4">
      <c r="A167">
        <v>67.5</v>
      </c>
      <c r="B167" s="4">
        <f t="shared" si="14"/>
        <v>2.8800829821953244</v>
      </c>
      <c r="C167" s="4">
        <f t="shared" si="15"/>
        <v>5.212616086189727</v>
      </c>
      <c r="D167" s="4">
        <f t="shared" si="12"/>
        <v>185.80108349908616</v>
      </c>
      <c r="E167" s="4">
        <f t="shared" si="13"/>
        <v>184.77682410785766</v>
      </c>
    </row>
    <row r="168" spans="1:6" x14ac:dyDescent="0.4">
      <c r="A168">
        <v>67.75</v>
      </c>
      <c r="B168" s="4">
        <f t="shared" si="14"/>
        <v>2.8780324788305185</v>
      </c>
      <c r="C168" s="4">
        <f t="shared" si="15"/>
        <v>5.1989053095009394</v>
      </c>
      <c r="D168" s="4">
        <f t="shared" si="12"/>
        <v>185.81135672766425</v>
      </c>
      <c r="E168" s="4">
        <f t="shared" si="13"/>
        <v>184.78979145231776</v>
      </c>
    </row>
    <row r="169" spans="1:6" x14ac:dyDescent="0.4">
      <c r="A169">
        <v>68</v>
      </c>
      <c r="B169" s="4">
        <f t="shared" si="14"/>
        <v>2.8759895061283896</v>
      </c>
      <c r="C169" s="4">
        <f t="shared" si="15"/>
        <v>5.185283554650046</v>
      </c>
      <c r="D169" s="4">
        <f t="shared" si="12"/>
        <v>185.82138388580182</v>
      </c>
      <c r="E169" s="4">
        <f t="shared" si="13"/>
        <v>184.80249523388207</v>
      </c>
    </row>
    <row r="170" spans="1:6" x14ac:dyDescent="0.4">
      <c r="A170">
        <v>68.25</v>
      </c>
      <c r="B170" s="4">
        <f t="shared" si="14"/>
        <v>2.8739540078573613</v>
      </c>
      <c r="C170" s="4">
        <f t="shared" si="15"/>
        <v>5.1717499187658165</v>
      </c>
      <c r="D170" s="4">
        <f t="shared" si="12"/>
        <v>185.83116797066535</v>
      </c>
      <c r="E170" s="4">
        <f t="shared" si="13"/>
        <v>184.81493862712793</v>
      </c>
    </row>
    <row r="171" spans="1:6" x14ac:dyDescent="0.4">
      <c r="A171">
        <v>68.5</v>
      </c>
      <c r="B171" s="4">
        <f t="shared" si="14"/>
        <v>2.8719259284112222</v>
      </c>
      <c r="C171" s="4">
        <f t="shared" si="15"/>
        <v>5.1583035114081213</v>
      </c>
      <c r="D171" s="4">
        <f t="shared" si="12"/>
        <v>185.84071193493165</v>
      </c>
      <c r="E171" s="4">
        <f t="shared" si="13"/>
        <v>184.82712475970027</v>
      </c>
    </row>
    <row r="172" spans="1:6" x14ac:dyDescent="0.4">
      <c r="A172">
        <v>68.75</v>
      </c>
      <c r="B172" s="4">
        <f t="shared" si="14"/>
        <v>2.8699052127999121</v>
      </c>
      <c r="C172" s="4">
        <f t="shared" si="15"/>
        <v>5.1449434543521413</v>
      </c>
      <c r="D172" s="4">
        <f t="shared" si="12"/>
        <v>185.85001868759272</v>
      </c>
      <c r="E172" s="4">
        <f t="shared" si="13"/>
        <v>184.83905671315895</v>
      </c>
    </row>
    <row r="173" spans="1:6" x14ac:dyDescent="0.4">
      <c r="A173">
        <v>69</v>
      </c>
      <c r="B173" s="4">
        <f t="shared" si="14"/>
        <v>2.8678918066404693</v>
      </c>
      <c r="C173" s="4">
        <f t="shared" si="15"/>
        <v>5.131668881376954</v>
      </c>
      <c r="D173" s="4">
        <f t="shared" si="12"/>
        <v>185.85909109474386</v>
      </c>
      <c r="E173" s="4">
        <f t="shared" si="13"/>
        <v>184.85073752380836</v>
      </c>
    </row>
    <row r="174" spans="1:6" x14ac:dyDescent="0.4">
      <c r="A174">
        <v>69.25</v>
      </c>
      <c r="B174" s="4">
        <f t="shared" si="14"/>
        <v>2.8658856561481469</v>
      </c>
      <c r="C174" s="4">
        <f t="shared" si="15"/>
        <v>5.1184789380586269</v>
      </c>
      <c r="D174" s="4">
        <f t="shared" si="12"/>
        <v>185.86793198035434</v>
      </c>
      <c r="E174" s="4">
        <f t="shared" si="13"/>
        <v>184.86217018350885</v>
      </c>
    </row>
    <row r="175" spans="1:6" x14ac:dyDescent="0.4">
      <c r="A175">
        <v>69.5</v>
      </c>
      <c r="B175" s="4">
        <f t="shared" si="14"/>
        <v>2.8638867081276977</v>
      </c>
      <c r="C175" s="4">
        <f t="shared" si="15"/>
        <v>5.1053727815676284</v>
      </c>
      <c r="D175" s="4">
        <f t="shared" si="12"/>
        <v>185.87654412702221</v>
      </c>
      <c r="E175" s="4">
        <f t="shared" si="13"/>
        <v>184.8733576404714</v>
      </c>
    </row>
    <row r="176" spans="1:6" x14ac:dyDescent="0.4">
      <c r="A176" s="12">
        <f>E6</f>
        <v>81.850568004699554</v>
      </c>
      <c r="B176" s="12">
        <f t="shared" si="14"/>
        <v>2.7731088402944057</v>
      </c>
      <c r="C176" s="12">
        <f t="shared" si="15"/>
        <v>4.5469663961867486</v>
      </c>
      <c r="D176" s="12">
        <f t="shared" si="12"/>
        <v>186.06690287557328</v>
      </c>
      <c r="E176" s="12">
        <f t="shared" si="13"/>
        <v>185.17344113661392</v>
      </c>
      <c r="F176" s="2" t="s">
        <v>82</v>
      </c>
    </row>
    <row r="177" spans="1:5" x14ac:dyDescent="0.4">
      <c r="A177">
        <v>69.75</v>
      </c>
      <c r="B177" s="4">
        <f t="shared" si="14"/>
        <v>2.861894909964799</v>
      </c>
      <c r="C177" s="4">
        <f t="shared" si="15"/>
        <v>5.0923495804703176</v>
      </c>
      <c r="D177" s="4">
        <f t="shared" si="12"/>
        <v>185.88493027671251</v>
      </c>
      <c r="E177" s="4">
        <f t="shared" si="13"/>
        <v>184.8843028000345</v>
      </c>
    </row>
    <row r="178" spans="1:5" x14ac:dyDescent="0.4">
      <c r="A178">
        <v>70</v>
      </c>
      <c r="B178" s="4">
        <f t="shared" si="14"/>
        <v>2.8599102096176545</v>
      </c>
      <c r="C178" s="4">
        <f t="shared" si="15"/>
        <v>5.0794085145346752</v>
      </c>
      <c r="D178" s="4">
        <f t="shared" si="12"/>
        <v>185.89309313148033</v>
      </c>
      <c r="E178" s="4">
        <f t="shared" si="13"/>
        <v>184.89500852542582</v>
      </c>
    </row>
    <row r="179" spans="1:5" x14ac:dyDescent="0.4">
      <c r="A179">
        <v>70.25</v>
      </c>
      <c r="B179" s="4">
        <f t="shared" si="14"/>
        <v>2.8579325556087261</v>
      </c>
      <c r="C179" s="4">
        <f t="shared" si="15"/>
        <v>5.0665487745398972</v>
      </c>
      <c r="D179" s="4">
        <f t="shared" si="12"/>
        <v>185.90103535417799</v>
      </c>
      <c r="E179" s="4">
        <f t="shared" si="13"/>
        <v>184.90547763850648</v>
      </c>
    </row>
    <row r="180" spans="1:5" x14ac:dyDescent="0.4">
      <c r="A180">
        <v>70.5</v>
      </c>
      <c r="B180" s="4">
        <f t="shared" si="14"/>
        <v>2.8559618970166341</v>
      </c>
      <c r="C180" s="4">
        <f t="shared" si="15"/>
        <v>5.0537695620899825</v>
      </c>
      <c r="D180" s="4">
        <f t="shared" si="12"/>
        <v>185.9087595691484</v>
      </c>
      <c r="E180" s="4">
        <f t="shared" si="13"/>
        <v>184.91571292050116</v>
      </c>
    </row>
    <row r="181" spans="1:5" x14ac:dyDescent="0.4">
      <c r="A181">
        <v>70.75</v>
      </c>
      <c r="B181" s="4">
        <f t="shared" si="14"/>
        <v>2.8539981834681845</v>
      </c>
      <c r="C181" s="4">
        <f t="shared" si="15"/>
        <v>5.0410700894310914</v>
      </c>
      <c r="D181" s="4">
        <f t="shared" si="12"/>
        <v>185.91626836290231</v>
      </c>
      <c r="E181" s="4">
        <f t="shared" si="13"/>
        <v>184.92571711271137</v>
      </c>
    </row>
    <row r="182" spans="1:5" x14ac:dyDescent="0.4">
      <c r="A182">
        <v>71</v>
      </c>
      <c r="B182" s="4">
        <f t="shared" si="14"/>
        <v>2.8520413651305518</v>
      </c>
      <c r="C182" s="4">
        <f t="shared" si="15"/>
        <v>5.0284495792726078</v>
      </c>
      <c r="D182" s="4">
        <f t="shared" si="12"/>
        <v>185.92356428478311</v>
      </c>
      <c r="E182" s="4">
        <f t="shared" si="13"/>
        <v>184.93549291721502</v>
      </c>
    </row>
    <row r="183" spans="1:5" x14ac:dyDescent="0.4">
      <c r="A183">
        <v>71.25</v>
      </c>
      <c r="B183" s="4">
        <f t="shared" si="14"/>
        <v>2.85009139270359</v>
      </c>
      <c r="C183" s="4">
        <f t="shared" si="15"/>
        <v>5.015907264611843</v>
      </c>
      <c r="D183" s="4">
        <f t="shared" si="12"/>
        <v>185.93064984761639</v>
      </c>
      <c r="E183" s="4">
        <f t="shared" si="13"/>
        <v>184.94504299755093</v>
      </c>
    </row>
    <row r="184" spans="1:5" x14ac:dyDescent="0.4">
      <c r="A184">
        <v>71.5</v>
      </c>
      <c r="B184" s="4">
        <f t="shared" si="14"/>
        <v>2.8481482174122879</v>
      </c>
      <c r="C184" s="4">
        <f t="shared" si="15"/>
        <v>5.0034423885622887</v>
      </c>
      <c r="D184" s="4">
        <f t="shared" si="12"/>
        <v>185.93752752834686</v>
      </c>
      <c r="E184" s="4">
        <f t="shared" si="13"/>
        <v>184.95436997938918</v>
      </c>
    </row>
    <row r="185" spans="1:5" x14ac:dyDescent="0.4">
      <c r="A185">
        <v>71.75</v>
      </c>
      <c r="B185" s="4">
        <f t="shared" si="14"/>
        <v>2.8462117909993512</v>
      </c>
      <c r="C185" s="4">
        <f t="shared" si="15"/>
        <v>4.9910542041852892</v>
      </c>
      <c r="D185" s="4">
        <f t="shared" si="12"/>
        <v>185.9441997686618</v>
      </c>
      <c r="E185" s="4">
        <f t="shared" si="13"/>
        <v>184.96347645118766</v>
      </c>
    </row>
    <row r="186" spans="1:5" x14ac:dyDescent="0.4">
      <c r="A186">
        <v>72</v>
      </c>
      <c r="B186" s="4">
        <f t="shared" si="14"/>
        <v>2.844282065717922</v>
      </c>
      <c r="C186" s="4">
        <f t="shared" si="15"/>
        <v>4.9787419743251693</v>
      </c>
      <c r="D186" s="4">
        <f t="shared" si="12"/>
        <v>185.95066897560167</v>
      </c>
      <c r="E186" s="4">
        <f t="shared" si="13"/>
        <v>184.97236496483504</v>
      </c>
    </row>
    <row r="187" spans="1:5" x14ac:dyDescent="0.4">
      <c r="A187">
        <v>72.25</v>
      </c>
      <c r="B187" s="4">
        <f t="shared" si="14"/>
        <v>2.8423589943244134</v>
      </c>
      <c r="C187" s="4">
        <f t="shared" si="15"/>
        <v>4.9665049714475415</v>
      </c>
      <c r="D187" s="4">
        <f t="shared" si="12"/>
        <v>185.95693752215806</v>
      </c>
      <c r="E187" s="4">
        <f t="shared" si="13"/>
        <v>184.98103803628078</v>
      </c>
    </row>
    <row r="188" spans="1:5" x14ac:dyDescent="0.4">
      <c r="A188">
        <v>72.5</v>
      </c>
      <c r="B188" s="4">
        <f t="shared" si="14"/>
        <v>2.8404425300714857</v>
      </c>
      <c r="C188" s="4">
        <f t="shared" si="15"/>
        <v>4.9543424774809433</v>
      </c>
      <c r="D188" s="4">
        <f t="shared" si="12"/>
        <v>185.96300774785979</v>
      </c>
      <c r="E188" s="4">
        <f t="shared" si="13"/>
        <v>184.98949814615202</v>
      </c>
    </row>
    <row r="189" spans="1:5" x14ac:dyDescent="0.4">
      <c r="A189">
        <v>72.75</v>
      </c>
      <c r="B189" s="4">
        <f t="shared" si="14"/>
        <v>2.838532626701129</v>
      </c>
      <c r="C189" s="4">
        <f t="shared" si="15"/>
        <v>4.9422537836615543</v>
      </c>
      <c r="D189" s="4">
        <f t="shared" si="12"/>
        <v>185.96888195934648</v>
      </c>
      <c r="E189" s="4">
        <f t="shared" si="13"/>
        <v>184.99774774035777</v>
      </c>
    </row>
    <row r="190" spans="1:5" x14ac:dyDescent="0.4">
      <c r="A190">
        <v>73</v>
      </c>
      <c r="B190" s="4">
        <f t="shared" si="14"/>
        <v>2.836629238437876</v>
      </c>
      <c r="C190" s="4">
        <f t="shared" si="15"/>
        <v>4.9302381903810124</v>
      </c>
      <c r="D190" s="4">
        <f t="shared" si="12"/>
        <v>185.97456243093094</v>
      </c>
      <c r="E190" s="4">
        <f t="shared" si="13"/>
        <v>185.00578923068124</v>
      </c>
    </row>
    <row r="191" spans="1:5" x14ac:dyDescent="0.4">
      <c r="A191">
        <v>73.25</v>
      </c>
      <c r="B191" s="4">
        <f t="shared" si="14"/>
        <v>2.8347323199821277</v>
      </c>
      <c r="C191" s="4">
        <f t="shared" si="15"/>
        <v>4.9182950070372158</v>
      </c>
      <c r="D191" s="4">
        <f t="shared" si="12"/>
        <v>185.98005140514996</v>
      </c>
      <c r="E191" s="4">
        <f t="shared" si="13"/>
        <v>185.01362499535995</v>
      </c>
    </row>
    <row r="192" spans="1:5" x14ac:dyDescent="0.4">
      <c r="A192">
        <v>73.5</v>
      </c>
      <c r="B192" s="4">
        <f t="shared" si="14"/>
        <v>2.8328418265035928</v>
      </c>
      <c r="C192" s="4">
        <f t="shared" si="15"/>
        <v>4.9064235518880635</v>
      </c>
      <c r="D192" s="4">
        <f t="shared" si="12"/>
        <v>185.98535109330379</v>
      </c>
      <c r="E192" s="4">
        <f t="shared" si="13"/>
        <v>185.02125737965389</v>
      </c>
    </row>
    <row r="193" spans="1:5" x14ac:dyDescent="0.4">
      <c r="A193">
        <v>73.75</v>
      </c>
      <c r="B193" s="4">
        <f t="shared" si="14"/>
        <v>2.8309577136348456</v>
      </c>
      <c r="C193" s="4">
        <f t="shared" si="15"/>
        <v>4.8946231519080721</v>
      </c>
      <c r="D193" s="4">
        <f t="shared" si="12"/>
        <v>185.99046367598521</v>
      </c>
      <c r="E193" s="4">
        <f t="shared" si="13"/>
        <v>185.02868869640278</v>
      </c>
    </row>
    <row r="194" spans="1:5" x14ac:dyDescent="0.4">
      <c r="A194">
        <v>74</v>
      </c>
      <c r="B194" s="4">
        <f t="shared" si="14"/>
        <v>2.8290799374649831</v>
      </c>
      <c r="C194" s="4">
        <f t="shared" si="15"/>
        <v>4.8828931426477453</v>
      </c>
      <c r="D194" s="4">
        <f t="shared" si="12"/>
        <v>185.99539130359744</v>
      </c>
      <c r="E194" s="4">
        <f t="shared" si="13"/>
        <v>185.0359212265717</v>
      </c>
    </row>
    <row r="195" spans="1:5" x14ac:dyDescent="0.4">
      <c r="A195">
        <v>74.25</v>
      </c>
      <c r="B195" s="4">
        <f t="shared" si="14"/>
        <v>2.827208454533404</v>
      </c>
      <c r="C195" s="4">
        <f t="shared" si="15"/>
        <v>4.8712328680957615</v>
      </c>
      <c r="D195" s="4">
        <f t="shared" si="12"/>
        <v>186.00013609686215</v>
      </c>
      <c r="E195" s="4">
        <f t="shared" si="13"/>
        <v>185.04295721978605</v>
      </c>
    </row>
    <row r="196" spans="1:5" x14ac:dyDescent="0.4">
      <c r="A196">
        <v>74.5</v>
      </c>
      <c r="B196" s="4">
        <f t="shared" si="14"/>
        <v>2.8253432218236791</v>
      </c>
      <c r="C196" s="4">
        <f t="shared" si="15"/>
        <v>4.8596416805437155</v>
      </c>
      <c r="D196" s="4">
        <f t="shared" si="12"/>
        <v>186.00470014731707</v>
      </c>
      <c r="E196" s="4">
        <f t="shared" si="13"/>
        <v>185.04979889485583</v>
      </c>
    </row>
    <row r="197" spans="1:5" x14ac:dyDescent="0.4">
      <c r="A197">
        <v>74.75</v>
      </c>
      <c r="B197" s="4">
        <f t="shared" si="14"/>
        <v>2.8234841967575384</v>
      </c>
      <c r="C197" s="4">
        <f t="shared" si="15"/>
        <v>4.8481189404536131</v>
      </c>
      <c r="D197" s="4">
        <f t="shared" si="12"/>
        <v>186.00908551780367</v>
      </c>
      <c r="E197" s="4">
        <f t="shared" si="13"/>
        <v>185.05644844028927</v>
      </c>
    </row>
    <row r="198" spans="1:5" x14ac:dyDescent="0.4">
      <c r="A198">
        <v>75</v>
      </c>
      <c r="B198" s="4">
        <f t="shared" si="14"/>
        <v>2.8216313371889474</v>
      </c>
      <c r="C198" s="4">
        <f t="shared" si="15"/>
        <v>4.8366640163277808</v>
      </c>
      <c r="D198" s="4">
        <f t="shared" si="12"/>
        <v>186.01329424294551</v>
      </c>
      <c r="E198" s="4">
        <f t="shared" si="13"/>
        <v>185.06290801479693</v>
      </c>
    </row>
    <row r="199" spans="1:5" x14ac:dyDescent="0.4">
      <c r="A199">
        <v>75.25</v>
      </c>
      <c r="B199" s="4">
        <f t="shared" si="14"/>
        <v>2.8197846013982955</v>
      </c>
      <c r="C199" s="4">
        <f t="shared" si="15"/>
        <v>4.8252762845813955</v>
      </c>
      <c r="D199" s="4">
        <f t="shared" si="12"/>
        <v>186.01732832961662</v>
      </c>
      <c r="E199" s="4">
        <f t="shared" si="13"/>
        <v>185.0691797477848</v>
      </c>
    </row>
    <row r="200" spans="1:5" x14ac:dyDescent="0.4">
      <c r="A200">
        <v>75.5</v>
      </c>
      <c r="B200" s="4">
        <f t="shared" si="14"/>
        <v>2.8179439480866684</v>
      </c>
      <c r="C200" s="4">
        <f t="shared" si="15"/>
        <v>4.8139551294173275</v>
      </c>
      <c r="D200" s="4">
        <f t="shared" si="12"/>
        <v>186.02118975740126</v>
      </c>
      <c r="E200" s="4">
        <f t="shared" si="13"/>
        <v>185.07526573983898</v>
      </c>
    </row>
    <row r="201" spans="1:5" x14ac:dyDescent="0.4">
      <c r="A201">
        <v>75.75</v>
      </c>
      <c r="B201" s="4">
        <f t="shared" si="14"/>
        <v>2.8161093363702259</v>
      </c>
      <c r="C201" s="4">
        <f t="shared" si="15"/>
        <v>4.8026999427034776</v>
      </c>
      <c r="D201" s="4">
        <f t="shared" si="12"/>
        <v>186.02488047904404</v>
      </c>
      <c r="E201" s="4">
        <f t="shared" si="13"/>
        <v>185.08116806319981</v>
      </c>
    </row>
    <row r="202" spans="1:5" x14ac:dyDescent="0.4">
      <c r="A202">
        <v>76</v>
      </c>
      <c r="B202" s="4">
        <f t="shared" si="14"/>
        <v>2.8142807257746711</v>
      </c>
      <c r="C202" s="4">
        <f t="shared" si="15"/>
        <v>4.7915101238523921</v>
      </c>
      <c r="D202" s="4">
        <f t="shared" si="12"/>
        <v>186.02840242089175</v>
      </c>
      <c r="E202" s="4">
        <f t="shared" si="13"/>
        <v>185.08688876222718</v>
      </c>
    </row>
    <row r="203" spans="1:5" x14ac:dyDescent="0.4">
      <c r="A203">
        <v>76.25</v>
      </c>
      <c r="B203" s="4">
        <f t="shared" si="14"/>
        <v>2.8124580762298086</v>
      </c>
      <c r="C203" s="4">
        <f t="shared" si="15"/>
        <v>4.7803850797031657</v>
      </c>
      <c r="D203" s="4">
        <f t="shared" si="12"/>
        <v>186.03175748332623</v>
      </c>
      <c r="E203" s="4">
        <f t="shared" si="13"/>
        <v>185.09242985385683</v>
      </c>
    </row>
    <row r="204" spans="1:5" x14ac:dyDescent="0.4">
      <c r="A204">
        <v>76.5</v>
      </c>
      <c r="B204" s="4">
        <f t="shared" si="14"/>
        <v>2.8106413480641952</v>
      </c>
      <c r="C204" s="4">
        <f t="shared" si="15"/>
        <v>4.769324224405584</v>
      </c>
      <c r="D204" s="4">
        <f t="shared" si="12"/>
        <v>186.03494754118915</v>
      </c>
      <c r="E204" s="4">
        <f t="shared" si="13"/>
        <v>185.09779332804783</v>
      </c>
    </row>
    <row r="205" spans="1:5" x14ac:dyDescent="0.4">
      <c r="A205">
        <v>76.75</v>
      </c>
      <c r="B205" s="4">
        <f t="shared" si="14"/>
        <v>2.8088305019998767</v>
      </c>
      <c r="C205" s="4">
        <f t="shared" si="15"/>
        <v>4.7583269793064016</v>
      </c>
      <c r="D205" s="4">
        <f t="shared" si="12"/>
        <v>186.03797444419803</v>
      </c>
      <c r="E205" s="4">
        <f t="shared" si="13"/>
        <v>185.10298114822081</v>
      </c>
    </row>
    <row r="206" spans="1:5" x14ac:dyDescent="0.4">
      <c r="A206">
        <v>77</v>
      </c>
      <c r="B206" s="4">
        <f t="shared" si="14"/>
        <v>2.807025499147211</v>
      </c>
      <c r="C206" s="4">
        <f t="shared" si="15"/>
        <v>4.7473927728378333</v>
      </c>
      <c r="D206" s="4">
        <f t="shared" si="12"/>
        <v>186.0408400173549</v>
      </c>
      <c r="E206" s="4">
        <f t="shared" si="13"/>
        <v>185.10799525168875</v>
      </c>
    </row>
    <row r="207" spans="1:5" x14ac:dyDescent="0.4">
      <c r="A207">
        <v>77.25</v>
      </c>
      <c r="B207" s="4">
        <f t="shared" si="14"/>
        <v>2.8052263009997818</v>
      </c>
      <c r="C207" s="4">
        <f t="shared" si="15"/>
        <v>4.736521040408058</v>
      </c>
      <c r="D207" s="4">
        <f t="shared" ref="D207:D270" si="16">$B$6*$B$12/9.81*($B$9*SQRT(2/($B$9-1)*(2/($B$9+1))^(($B$9+1)/($B$9-1))*(1 - (A207/$B$3)^(($B$9-1)/$B$9))) + C207/$B$3*(A207 - $E$6))</f>
        <v>186.04354606134649</v>
      </c>
      <c r="E207" s="4">
        <f t="shared" ref="E207:E270" si="17">$B$6*$B$12/9.81*($B$9*SQRT(2/($B$9-1)*(2/($B$9+1))^(($B$9+1)/($B$9-1))*(1 - (A207/$B$3)^(($B$9-1)/$B$9))) + C207/$B$3*(A207 - $E$4))</f>
        <v>185.1128375500785</v>
      </c>
    </row>
    <row r="208" spans="1:5" x14ac:dyDescent="0.4">
      <c r="A208">
        <v>77.5</v>
      </c>
      <c r="B208" s="4">
        <f t="shared" ref="B208:B271" si="18">SQRT(2/($B$9-1)*((A208/$B$3)^((1-$B$9)/$B$9) - 1))</f>
        <v>2.8034328694293866</v>
      </c>
      <c r="C208" s="4">
        <f t="shared" ref="C208:C271" si="19">1/B208*(2/($B$9+1)*(1 + ($B$9-1)/2*B208^2))^(($B$9+1)/(2*$B$9-2))</f>
        <v>4.7257112242938026</v>
      </c>
      <c r="D208" s="4">
        <f t="shared" si="16"/>
        <v>186.04609435293719</v>
      </c>
      <c r="E208" s="4">
        <f t="shared" si="17"/>
        <v>185.11750992974501</v>
      </c>
    </row>
    <row r="209" spans="1:5" x14ac:dyDescent="0.4">
      <c r="A209">
        <v>77.75</v>
      </c>
      <c r="B209" s="4">
        <f t="shared" si="18"/>
        <v>2.80164516668111</v>
      </c>
      <c r="C209" s="4">
        <f t="shared" si="19"/>
        <v>4.7149627735348973</v>
      </c>
      <c r="D209" s="4">
        <f t="shared" si="16"/>
        <v>186.04848664535405</v>
      </c>
      <c r="E209" s="4">
        <f t="shared" si="17"/>
        <v>185.12201425217694</v>
      </c>
    </row>
    <row r="210" spans="1:5" x14ac:dyDescent="0.4">
      <c r="A210">
        <v>78</v>
      </c>
      <c r="B210" s="4">
        <f t="shared" si="18"/>
        <v>2.799863155368477</v>
      </c>
      <c r="C210" s="4">
        <f t="shared" si="19"/>
        <v>4.7042751438307944</v>
      </c>
      <c r="D210" s="4">
        <f t="shared" si="16"/>
        <v>186.05072466866486</v>
      </c>
      <c r="E210" s="4">
        <f t="shared" si="17"/>
        <v>185.12635235439504</v>
      </c>
    </row>
    <row r="211" spans="1:5" x14ac:dyDescent="0.4">
      <c r="A211">
        <v>78.25</v>
      </c>
      <c r="B211" s="4">
        <f t="shared" si="18"/>
        <v>2.7980867984686877</v>
      </c>
      <c r="C211" s="4">
        <f t="shared" si="19"/>
        <v>4.6936477974389996</v>
      </c>
      <c r="D211" s="4">
        <f t="shared" si="16"/>
        <v>186.05281013014891</v>
      </c>
      <c r="E211" s="4">
        <f t="shared" si="17"/>
        <v>185.13052604934296</v>
      </c>
    </row>
    <row r="212" spans="1:5" x14ac:dyDescent="0.4">
      <c r="A212">
        <v>78.5</v>
      </c>
      <c r="B212" s="4">
        <f t="shared" si="18"/>
        <v>2.796316059317923</v>
      </c>
      <c r="C212" s="4">
        <f t="shared" si="19"/>
        <v>4.6830802030753738</v>
      </c>
      <c r="D212" s="4">
        <f t="shared" si="16"/>
        <v>186.05474471466039</v>
      </c>
      <c r="E212" s="4">
        <f t="shared" si="17"/>
        <v>185.13453712627029</v>
      </c>
    </row>
    <row r="213" spans="1:5" x14ac:dyDescent="0.4">
      <c r="A213">
        <v>78.75</v>
      </c>
      <c r="B213" s="4">
        <f t="shared" si="18"/>
        <v>2.7945509016067263</v>
      </c>
      <c r="C213" s="4">
        <f t="shared" si="19"/>
        <v>4.6725718358162371</v>
      </c>
      <c r="D213" s="4">
        <f t="shared" si="16"/>
        <v>186.05653008498535</v>
      </c>
      <c r="E213" s="4">
        <f t="shared" si="17"/>
        <v>185.13838735110852</v>
      </c>
    </row>
    <row r="214" spans="1:5" x14ac:dyDescent="0.4">
      <c r="A214">
        <v>79</v>
      </c>
      <c r="B214" s="4">
        <f t="shared" si="18"/>
        <v>2.7927912893754647</v>
      </c>
      <c r="C214" s="4">
        <f t="shared" si="19"/>
        <v>4.662122177002308</v>
      </c>
      <c r="D214" s="4">
        <f t="shared" si="16"/>
        <v>186.05816788219201</v>
      </c>
      <c r="E214" s="4">
        <f t="shared" si="17"/>
        <v>185.14207846684053</v>
      </c>
    </row>
    <row r="215" spans="1:5" x14ac:dyDescent="0.4">
      <c r="A215">
        <v>79.25</v>
      </c>
      <c r="B215" s="4">
        <f t="shared" si="18"/>
        <v>2.7910371870098567</v>
      </c>
      <c r="C215" s="4">
        <f t="shared" si="19"/>
        <v>4.6517307141443442</v>
      </c>
      <c r="D215" s="4">
        <f t="shared" si="16"/>
        <v>186.05965972597372</v>
      </c>
      <c r="E215" s="4">
        <f t="shared" si="17"/>
        <v>185.14561219386184</v>
      </c>
    </row>
    <row r="216" spans="1:5" x14ac:dyDescent="0.4">
      <c r="A216">
        <v>79.5</v>
      </c>
      <c r="B216" s="4">
        <f t="shared" si="18"/>
        <v>2.7892885592365744</v>
      </c>
      <c r="C216" s="4">
        <f t="shared" si="19"/>
        <v>4.6413969408305302</v>
      </c>
      <c r="D216" s="4">
        <f t="shared" si="16"/>
        <v>186.06100721498643</v>
      </c>
      <c r="E216" s="4">
        <f t="shared" si="17"/>
        <v>185.14899023033644</v>
      </c>
    </row>
    <row r="217" spans="1:5" x14ac:dyDescent="0.4">
      <c r="A217">
        <v>79.75</v>
      </c>
      <c r="B217" s="4">
        <f t="shared" si="18"/>
        <v>2.7875453711189127</v>
      </c>
      <c r="C217" s="4">
        <f t="shared" si="19"/>
        <v>4.6311203566355355</v>
      </c>
      <c r="D217" s="4">
        <f t="shared" si="16"/>
        <v>186.0622119271795</v>
      </c>
      <c r="E217" s="4">
        <f t="shared" si="17"/>
        <v>185.15221425254529</v>
      </c>
    </row>
    <row r="218" spans="1:5" x14ac:dyDescent="0.4">
      <c r="A218">
        <v>80</v>
      </c>
      <c r="B218" s="4">
        <f t="shared" si="18"/>
        <v>2.7858075880525277</v>
      </c>
      <c r="C218" s="4">
        <f t="shared" si="19"/>
        <v>4.6209004670311904</v>
      </c>
      <c r="D218" s="4">
        <f t="shared" si="16"/>
        <v>186.06327542011985</v>
      </c>
      <c r="E218" s="4">
        <f t="shared" si="17"/>
        <v>185.15528591522835</v>
      </c>
    </row>
    <row r="219" spans="1:5" x14ac:dyDescent="0.4">
      <c r="A219">
        <v>80.25</v>
      </c>
      <c r="B219" s="4">
        <f t="shared" si="18"/>
        <v>2.7840751757612479</v>
      </c>
      <c r="C219" s="4">
        <f t="shared" si="19"/>
        <v>4.6107367832988295</v>
      </c>
      <c r="D219" s="4">
        <f t="shared" si="16"/>
        <v>186.06419923131119</v>
      </c>
      <c r="E219" s="4">
        <f t="shared" si="17"/>
        <v>185.15820685192065</v>
      </c>
    </row>
    <row r="220" spans="1:5" x14ac:dyDescent="0.4">
      <c r="A220">
        <v>80.5</v>
      </c>
      <c r="B220" s="4">
        <f t="shared" si="18"/>
        <v>2.7823481002929387</v>
      </c>
      <c r="C220" s="4">
        <f t="shared" si="19"/>
        <v>4.6006288224431158</v>
      </c>
      <c r="D220" s="4">
        <f t="shared" si="16"/>
        <v>186.06498487850612</v>
      </c>
      <c r="E220" s="4">
        <f t="shared" si="17"/>
        <v>185.16097867528154</v>
      </c>
    </row>
    <row r="221" spans="1:5" x14ac:dyDescent="0.4">
      <c r="A221" s="4">
        <v>80.75</v>
      </c>
      <c r="B221" s="4">
        <f t="shared" si="18"/>
        <v>2.7806263280154444</v>
      </c>
      <c r="C221" s="4">
        <f t="shared" si="19"/>
        <v>4.5905761071074886</v>
      </c>
      <c r="D221" s="4">
        <f t="shared" si="16"/>
        <v>186.06563386001332</v>
      </c>
      <c r="E221" s="4">
        <f t="shared" si="17"/>
        <v>185.16360297741846</v>
      </c>
    </row>
    <row r="222" spans="1:5" x14ac:dyDescent="0.4">
      <c r="A222" s="11">
        <v>81</v>
      </c>
      <c r="B222" s="4">
        <f t="shared" si="18"/>
        <v>2.7789098256125868</v>
      </c>
      <c r="C222" s="4">
        <f t="shared" si="19"/>
        <v>4.5805781654910813</v>
      </c>
      <c r="D222" s="4">
        <f t="shared" si="16"/>
        <v>186.06614765499893</v>
      </c>
      <c r="E222" s="4">
        <f t="shared" si="17"/>
        <v>185.16608133020463</v>
      </c>
    </row>
    <row r="223" spans="1:5" x14ac:dyDescent="0.4">
      <c r="A223">
        <v>81.25</v>
      </c>
      <c r="B223" s="4">
        <f t="shared" si="18"/>
        <v>2.7771985600802251</v>
      </c>
      <c r="C223" s="4">
        <f t="shared" si="19"/>
        <v>4.5706345312671122</v>
      </c>
      <c r="D223" s="4">
        <f t="shared" si="16"/>
        <v>186.06652772378192</v>
      </c>
      <c r="E223" s="4">
        <f t="shared" si="17"/>
        <v>185.1684152855905</v>
      </c>
    </row>
    <row r="224" spans="1:5" x14ac:dyDescent="0.4">
      <c r="A224">
        <v>81.5</v>
      </c>
      <c r="B224" s="4">
        <f t="shared" si="18"/>
        <v>2.7754924987223863</v>
      </c>
      <c r="C224" s="4">
        <f t="shared" si="19"/>
        <v>4.560744743502755</v>
      </c>
      <c r="D224" s="4">
        <f t="shared" si="16"/>
        <v>186.06677550812492</v>
      </c>
      <c r="E224" s="4">
        <f t="shared" si="17"/>
        <v>185.17060637591027</v>
      </c>
    </row>
    <row r="225" spans="1:6" x14ac:dyDescent="0.4">
      <c r="A225">
        <v>81.75</v>
      </c>
      <c r="B225" s="4">
        <f t="shared" si="18"/>
        <v>2.7737916091474371</v>
      </c>
      <c r="C225" s="4">
        <f t="shared" si="19"/>
        <v>4.5509083465803606</v>
      </c>
      <c r="D225" s="4">
        <f t="shared" si="16"/>
        <v>186.06689243151877</v>
      </c>
      <c r="E225" s="4">
        <f t="shared" si="17"/>
        <v>185.17265611418193</v>
      </c>
    </row>
    <row r="226" spans="1:6" x14ac:dyDescent="0.4">
      <c r="A226">
        <v>82</v>
      </c>
      <c r="B226" s="4">
        <f t="shared" si="18"/>
        <v>2.772095859264335</v>
      </c>
      <c r="C226" s="4">
        <f t="shared" si="19"/>
        <v>4.541124890120126</v>
      </c>
      <c r="D226" s="4">
        <f t="shared" si="16"/>
        <v>186.06687989946278</v>
      </c>
      <c r="E226" s="4">
        <f t="shared" si="17"/>
        <v>185.17456599440268</v>
      </c>
    </row>
    <row r="227" spans="1:6" x14ac:dyDescent="0.4">
      <c r="A227">
        <v>82.25</v>
      </c>
      <c r="B227" s="4">
        <f t="shared" si="18"/>
        <v>2.7704052172789262</v>
      </c>
      <c r="C227" s="4">
        <f t="shared" si="19"/>
        <v>4.5313939289041203</v>
      </c>
      <c r="D227" s="4">
        <f t="shared" si="16"/>
        <v>186.0667392997392</v>
      </c>
      <c r="E227" s="4">
        <f t="shared" si="17"/>
        <v>185.1763374918385</v>
      </c>
    </row>
    <row r="228" spans="1:6" x14ac:dyDescent="0.4">
      <c r="A228">
        <v>82.5</v>
      </c>
      <c r="B228" s="4">
        <f t="shared" si="18"/>
        <v>2.7687196516902985</v>
      </c>
      <c r="C228" s="4">
        <f t="shared" si="19"/>
        <v>4.5217150228015726</v>
      </c>
      <c r="D228" s="4">
        <f t="shared" si="16"/>
        <v>186.0664720026833</v>
      </c>
      <c r="E228" s="4">
        <f t="shared" si="17"/>
        <v>185.17797206330854</v>
      </c>
    </row>
    <row r="229" spans="1:6" x14ac:dyDescent="0.4">
      <c r="A229">
        <v>82.75</v>
      </c>
      <c r="B229" s="4">
        <f t="shared" si="18"/>
        <v>2.7670391312871994</v>
      </c>
      <c r="C229" s="4">
        <f t="shared" si="19"/>
        <v>4.5120877366955616</v>
      </c>
      <c r="D229" s="4">
        <f t="shared" si="16"/>
        <v>186.06607936144817</v>
      </c>
      <c r="E229" s="4">
        <f t="shared" si="17"/>
        <v>185.17947114746485</v>
      </c>
    </row>
    <row r="230" spans="1:6" x14ac:dyDescent="0.4">
      <c r="A230">
        <v>83</v>
      </c>
      <c r="B230" s="4">
        <f t="shared" si="18"/>
        <v>2.7653636251444942</v>
      </c>
      <c r="C230" s="4">
        <f t="shared" si="19"/>
        <v>4.5025116404108747</v>
      </c>
      <c r="D230" s="4">
        <f t="shared" si="16"/>
        <v>186.06556271226489</v>
      </c>
      <c r="E230" s="4">
        <f t="shared" si="17"/>
        <v>185.1808361650663</v>
      </c>
    </row>
    <row r="231" spans="1:6" x14ac:dyDescent="0.4">
      <c r="A231">
        <v>83.25</v>
      </c>
      <c r="B231" s="4">
        <f t="shared" si="18"/>
        <v>2.7636931026196958</v>
      </c>
      <c r="C231" s="4">
        <f t="shared" si="19"/>
        <v>4.4929863086432382</v>
      </c>
      <c r="D231" s="4">
        <f t="shared" si="16"/>
        <v>186.0649233746982</v>
      </c>
      <c r="E231" s="4">
        <f t="shared" si="17"/>
        <v>185.18206851924825</v>
      </c>
    </row>
    <row r="232" spans="1:6" x14ac:dyDescent="0.4">
      <c r="A232">
        <v>83.5</v>
      </c>
      <c r="B232" s="4">
        <f t="shared" si="18"/>
        <v>2.762027533349531</v>
      </c>
      <c r="C232" s="4">
        <f t="shared" si="19"/>
        <v>4.4835113208896464</v>
      </c>
      <c r="D232" s="4">
        <f t="shared" si="16"/>
        <v>186.06416265189728</v>
      </c>
      <c r="E232" s="4">
        <f t="shared" si="17"/>
        <v>185.18316959578726</v>
      </c>
    </row>
    <row r="233" spans="1:6" x14ac:dyDescent="0.4">
      <c r="A233">
        <v>83.75</v>
      </c>
      <c r="B233" s="4">
        <f t="shared" si="18"/>
        <v>2.7603668872465685</v>
      </c>
      <c r="C233" s="4">
        <f t="shared" si="19"/>
        <v>4.4740862613799761</v>
      </c>
      <c r="D233" s="4">
        <f t="shared" si="16"/>
        <v>186.06328183084253</v>
      </c>
      <c r="E233" s="4">
        <f t="shared" si="17"/>
        <v>185.18414076336086</v>
      </c>
    </row>
    <row r="234" spans="1:6" x14ac:dyDescent="0.4">
      <c r="A234">
        <v>84</v>
      </c>
      <c r="B234" s="4">
        <f t="shared" si="18"/>
        <v>2.7587111344958926</v>
      </c>
      <c r="C234" s="4">
        <f t="shared" si="19"/>
        <v>4.4647107190097719</v>
      </c>
      <c r="D234" s="4">
        <f t="shared" si="16"/>
        <v>186.06228218258738</v>
      </c>
      <c r="E234" s="4">
        <f t="shared" si="17"/>
        <v>185.18498337380308</v>
      </c>
    </row>
    <row r="235" spans="1:6" x14ac:dyDescent="0.4">
      <c r="A235">
        <v>84.25</v>
      </c>
      <c r="B235" s="4">
        <f t="shared" si="18"/>
        <v>2.7570602455518292</v>
      </c>
      <c r="C235" s="4">
        <f t="shared" si="19"/>
        <v>4.4553842872741214</v>
      </c>
      <c r="D235" s="4">
        <f t="shared" si="16"/>
        <v>186.06116496249632</v>
      </c>
      <c r="E235" s="4">
        <f t="shared" si="17"/>
        <v>185.18569876235495</v>
      </c>
    </row>
    <row r="236" spans="1:6" x14ac:dyDescent="0.4">
      <c r="A236">
        <v>84.5</v>
      </c>
      <c r="B236" s="4">
        <f t="shared" si="18"/>
        <v>2.7554141911347201</v>
      </c>
      <c r="C236" s="4">
        <f t="shared" si="19"/>
        <v>4.4461065642027391</v>
      </c>
      <c r="D236" s="4">
        <f t="shared" si="16"/>
        <v>186.05993141047844</v>
      </c>
      <c r="E236" s="4">
        <f t="shared" si="17"/>
        <v>185.18628824791128</v>
      </c>
    </row>
    <row r="237" spans="1:6" x14ac:dyDescent="0.4">
      <c r="A237">
        <v>84.75</v>
      </c>
      <c r="B237" s="4">
        <f t="shared" si="18"/>
        <v>2.7537729422277466</v>
      </c>
      <c r="C237" s="4">
        <f t="shared" si="19"/>
        <v>4.4368771522961028</v>
      </c>
      <c r="D237" s="4">
        <f t="shared" si="16"/>
        <v>186.05858275121702</v>
      </c>
      <c r="E237" s="4">
        <f t="shared" si="17"/>
        <v>185.1867531332625</v>
      </c>
    </row>
    <row r="238" spans="1:6" x14ac:dyDescent="0.4">
      <c r="A238">
        <v>85</v>
      </c>
      <c r="B238" s="4">
        <f t="shared" si="18"/>
        <v>2.7521364700737951</v>
      </c>
      <c r="C238" s="4">
        <f t="shared" si="19"/>
        <v>4.4276956584626825</v>
      </c>
      <c r="D238" s="4">
        <f t="shared" si="16"/>
        <v>186.05712019439474</v>
      </c>
      <c r="E238" s="4">
        <f t="shared" si="17"/>
        <v>185.1870947053323</v>
      </c>
    </row>
    <row r="239" spans="1:6" x14ac:dyDescent="0.4">
      <c r="A239">
        <v>85.25</v>
      </c>
      <c r="B239" s="4">
        <f t="shared" si="18"/>
        <v>2.7505047461723771</v>
      </c>
      <c r="C239" s="4">
        <f t="shared" si="19"/>
        <v>4.418561693957253</v>
      </c>
      <c r="D239" s="4">
        <f t="shared" si="16"/>
        <v>186.0555449349157</v>
      </c>
      <c r="E239" s="4">
        <f t="shared" si="17"/>
        <v>185.18731423541172</v>
      </c>
    </row>
    <row r="240" spans="1:6" x14ac:dyDescent="0.4">
      <c r="A240" s="3">
        <v>85.5</v>
      </c>
      <c r="B240" s="5">
        <f>SQRT(2/($B$9-1)*((A240/$B$3)^((1-$B$9)/$B$9) - 1))</f>
        <v>2.7488777422765924</v>
      </c>
      <c r="C240" s="5">
        <f t="shared" si="19"/>
        <v>4.4094748743202601</v>
      </c>
      <c r="D240" s="5">
        <f t="shared" si="16"/>
        <v>186.05385815312275</v>
      </c>
      <c r="E240" s="5">
        <f t="shared" si="17"/>
        <v>185.18741297938851</v>
      </c>
      <c r="F240" s="2" t="s">
        <v>62</v>
      </c>
    </row>
    <row r="241" spans="1:5" x14ac:dyDescent="0.4">
      <c r="A241">
        <v>85.75</v>
      </c>
      <c r="B241" s="4">
        <f t="shared" si="18"/>
        <v>2.7472554303901289</v>
      </c>
      <c r="C241" s="4">
        <f t="shared" si="19"/>
        <v>4.4004348193181322</v>
      </c>
      <c r="D241" s="4">
        <f t="shared" si="16"/>
        <v>186.0520610150113</v>
      </c>
      <c r="E241" s="4">
        <f t="shared" si="17"/>
        <v>185.1873921779725</v>
      </c>
    </row>
    <row r="242" spans="1:5" x14ac:dyDescent="0.4">
      <c r="A242">
        <v>86</v>
      </c>
      <c r="B242" s="4">
        <f t="shared" si="18"/>
        <v>2.7456377827643172</v>
      </c>
      <c r="C242" s="4">
        <f t="shared" si="19"/>
        <v>4.3914411528846857</v>
      </c>
      <c r="D242" s="4">
        <f t="shared" si="16"/>
        <v>186.05015467243973</v>
      </c>
      <c r="E242" s="4">
        <f t="shared" si="17"/>
        <v>185.18725305691765</v>
      </c>
    </row>
    <row r="243" spans="1:5" x14ac:dyDescent="0.4">
      <c r="A243">
        <v>86.25</v>
      </c>
      <c r="B243" s="4">
        <f t="shared" si="18"/>
        <v>2.7440247718952251</v>
      </c>
      <c r="C243" s="4">
        <f t="shared" si="19"/>
        <v>4.3824935030634506</v>
      </c>
      <c r="D243" s="4">
        <f t="shared" si="16"/>
        <v>186.04814026333577</v>
      </c>
      <c r="E243" s="4">
        <f t="shared" si="17"/>
        <v>185.1869968272398</v>
      </c>
    </row>
    <row r="244" spans="1:5" x14ac:dyDescent="0.4">
      <c r="A244">
        <v>86.5</v>
      </c>
      <c r="B244" s="4">
        <f t="shared" si="18"/>
        <v>2.7424163705207918</v>
      </c>
      <c r="C244" s="4">
        <f>1/B244*(2/($B$9+1)*(1 + ($B$9-1)/2*B244^2))^(($B$9+1)/(2*$B$9-2))</f>
        <v>4.3735915019510028</v>
      </c>
      <c r="D244" s="4">
        <f t="shared" si="16"/>
        <v>186.04601891189955</v>
      </c>
      <c r="E244" s="4">
        <f t="shared" si="17"/>
        <v>185.18662468543067</v>
      </c>
    </row>
    <row r="245" spans="1:5" x14ac:dyDescent="0.4">
      <c r="A245">
        <v>86.75</v>
      </c>
      <c r="B245" s="4">
        <f t="shared" si="18"/>
        <v>2.7408125516180033</v>
      </c>
      <c r="C245" s="4">
        <f t="shared" si="19"/>
        <v>4.3647347856411729</v>
      </c>
      <c r="D245" s="4">
        <f t="shared" si="16"/>
        <v>186.04379172880274</v>
      </c>
      <c r="E245" s="4">
        <f t="shared" si="17"/>
        <v>185.1861378136681</v>
      </c>
    </row>
    <row r="246" spans="1:5" x14ac:dyDescent="0.4">
      <c r="A246">
        <v>87</v>
      </c>
      <c r="B246" s="4">
        <f t="shared" si="18"/>
        <v>2.7392132884001175</v>
      </c>
      <c r="C246" s="4">
        <f t="shared" si="19"/>
        <v>4.3559229941702808</v>
      </c>
      <c r="D246" s="4">
        <f t="shared" si="16"/>
        <v>186.04145981138515</v>
      </c>
      <c r="E246" s="4">
        <f t="shared" si="17"/>
        <v>185.18553738002336</v>
      </c>
    </row>
    <row r="247" spans="1:5" x14ac:dyDescent="0.4">
      <c r="A247">
        <v>87.25</v>
      </c>
      <c r="B247" s="4">
        <f t="shared" si="18"/>
        <v>2.7376185543139164</v>
      </c>
      <c r="C247" s="4">
        <f t="shared" si="19"/>
        <v>4.3471557714631768</v>
      </c>
      <c r="D247" s="4">
        <f t="shared" si="16"/>
        <v>186.0390242438468</v>
      </c>
      <c r="E247" s="4">
        <f t="shared" si="17"/>
        <v>185.18482453866403</v>
      </c>
    </row>
    <row r="248" spans="1:5" x14ac:dyDescent="0.4">
      <c r="A248">
        <v>87.5</v>
      </c>
      <c r="B248" s="4">
        <f t="shared" si="18"/>
        <v>2.7360283230370088</v>
      </c>
      <c r="C248" s="4">
        <f t="shared" si="19"/>
        <v>4.3384327652802277</v>
      </c>
      <c r="D248" s="4">
        <f t="shared" si="16"/>
        <v>186.03648609743775</v>
      </c>
      <c r="E248" s="4">
        <f t="shared" si="17"/>
        <v>185.18400043005383</v>
      </c>
    </row>
    <row r="249" spans="1:5" x14ac:dyDescent="0.4">
      <c r="A249">
        <v>87.75</v>
      </c>
      <c r="B249" s="4">
        <f t="shared" si="18"/>
        <v>2.7344425684751665</v>
      </c>
      <c r="C249" s="4">
        <f t="shared" si="19"/>
        <v>4.329753627165176</v>
      </c>
      <c r="D249" s="4">
        <f t="shared" si="16"/>
        <v>186.03384643064413</v>
      </c>
      <c r="E249" s="4">
        <f t="shared" si="17"/>
        <v>185.18306618114926</v>
      </c>
    </row>
    <row r="250" spans="1:5" x14ac:dyDescent="0.4">
      <c r="A250">
        <v>88</v>
      </c>
      <c r="B250" s="4">
        <f t="shared" si="18"/>
        <v>2.7328612647597006</v>
      </c>
      <c r="C250" s="4">
        <f t="shared" si="19"/>
        <v>4.3211180123938178</v>
      </c>
      <c r="D250" s="4">
        <f t="shared" si="16"/>
        <v>186.031106289371</v>
      </c>
      <c r="E250" s="4">
        <f t="shared" si="17"/>
        <v>185.18202290559239</v>
      </c>
    </row>
    <row r="251" spans="1:5" x14ac:dyDescent="0.4">
      <c r="A251">
        <v>88.25</v>
      </c>
      <c r="B251" s="4">
        <f t="shared" si="18"/>
        <v>2.7312843862448717</v>
      </c>
      <c r="C251" s="4">
        <f t="shared" si="19"/>
        <v>4.3125255799235678</v>
      </c>
      <c r="D251" s="4">
        <f t="shared" si="16"/>
        <v>186.02826670712236</v>
      </c>
      <c r="E251" s="4">
        <f t="shared" si="17"/>
        <v>185.18087170390075</v>
      </c>
    </row>
    <row r="252" spans="1:5" x14ac:dyDescent="0.4">
      <c r="A252">
        <v>88.5</v>
      </c>
      <c r="B252" s="4">
        <f t="shared" si="18"/>
        <v>2.7297119075053446</v>
      </c>
      <c r="C252" s="4">
        <f t="shared" si="19"/>
        <v>4.3039759923438075</v>
      </c>
      <c r="D252" s="4">
        <f t="shared" si="16"/>
        <v>186.02532870517803</v>
      </c>
      <c r="E252" s="4">
        <f t="shared" si="17"/>
        <v>185.17961366365412</v>
      </c>
    </row>
    <row r="253" spans="1:5" x14ac:dyDescent="0.4">
      <c r="A253">
        <v>88.75</v>
      </c>
      <c r="B253" s="4">
        <f t="shared" si="18"/>
        <v>2.7281438033336709</v>
      </c>
      <c r="C253" s="4">
        <f t="shared" si="19"/>
        <v>4.2954689158270662</v>
      </c>
      <c r="D253" s="4">
        <f t="shared" si="16"/>
        <v>186.02229329276753</v>
      </c>
      <c r="E253" s="4">
        <f t="shared" si="17"/>
        <v>185.17824985967789</v>
      </c>
    </row>
    <row r="254" spans="1:5" x14ac:dyDescent="0.4">
      <c r="A254">
        <v>89</v>
      </c>
      <c r="B254" s="4">
        <f t="shared" si="18"/>
        <v>2.7265800487378162</v>
      </c>
      <c r="C254" s="4">
        <f t="shared" si="19"/>
        <v>4.287004020080988</v>
      </c>
      <c r="D254" s="4">
        <f t="shared" si="16"/>
        <v>186.01916146724093</v>
      </c>
      <c r="E254" s="4">
        <f t="shared" si="17"/>
        <v>185.17678135422327</v>
      </c>
    </row>
    <row r="255" spans="1:5" x14ac:dyDescent="0.4">
      <c r="A255">
        <v>89.25</v>
      </c>
      <c r="B255" s="4">
        <f t="shared" si="18"/>
        <v>2.7250206189387094</v>
      </c>
      <c r="C255" s="4">
        <f t="shared" si="19"/>
        <v>4.2785809783010498</v>
      </c>
      <c r="D255" s="4">
        <f t="shared" si="16"/>
        <v>186.01593421423706</v>
      </c>
      <c r="E255" s="4">
        <f t="shared" si="17"/>
        <v>185.17520919714497</v>
      </c>
    </row>
    <row r="256" spans="1:5" x14ac:dyDescent="0.4">
      <c r="A256">
        <v>89.5</v>
      </c>
      <c r="B256" s="4">
        <f t="shared" si="18"/>
        <v>2.7234654893678414</v>
      </c>
      <c r="C256" s="4">
        <f t="shared" si="19"/>
        <v>4.2701994671240993</v>
      </c>
      <c r="D256" s="4">
        <f t="shared" si="16"/>
        <v>186.01261250784876</v>
      </c>
      <c r="E256" s="4">
        <f t="shared" si="17"/>
        <v>185.17353442607543</v>
      </c>
    </row>
    <row r="257" spans="1:5" x14ac:dyDescent="0.4">
      <c r="A257">
        <v>89.75</v>
      </c>
      <c r="B257" s="4">
        <f t="shared" si="18"/>
        <v>2.7219146356648882</v>
      </c>
      <c r="C257" s="4">
        <f t="shared" si="19"/>
        <v>4.2618591665825791</v>
      </c>
      <c r="D257" s="4">
        <f t="shared" si="16"/>
        <v>186.00919731078534</v>
      </c>
      <c r="E257" s="4">
        <f t="shared" si="17"/>
        <v>185.17175806659648</v>
      </c>
    </row>
    <row r="258" spans="1:5" x14ac:dyDescent="0.4">
      <c r="A258">
        <v>90</v>
      </c>
      <c r="B258" s="4">
        <f t="shared" si="18"/>
        <v>2.7203680336753693</v>
      </c>
      <c r="C258" s="4">
        <f t="shared" si="19"/>
        <v>4.253559760059515</v>
      </c>
      <c r="D258" s="4">
        <f t="shared" si="16"/>
        <v>186.00568957453251</v>
      </c>
      <c r="E258" s="4">
        <f t="shared" si="17"/>
        <v>185.1698811324078</v>
      </c>
    </row>
    <row r="259" spans="1:5" x14ac:dyDescent="0.4">
      <c r="A259">
        <v>90.25</v>
      </c>
      <c r="B259" s="4">
        <f t="shared" si="18"/>
        <v>2.7188256594483393</v>
      </c>
      <c r="C259" s="4">
        <f t="shared" si="19"/>
        <v>4.2453009342442405</v>
      </c>
      <c r="D259" s="4">
        <f t="shared" si="16"/>
        <v>186.0020902395095</v>
      </c>
      <c r="E259" s="4">
        <f t="shared" si="17"/>
        <v>185.16790462549295</v>
      </c>
    </row>
    <row r="260" spans="1:5" x14ac:dyDescent="0.4">
      <c r="A260">
        <v>90.5</v>
      </c>
      <c r="B260" s="4">
        <f t="shared" si="18"/>
        <v>2.7172874892341139</v>
      </c>
      <c r="C260" s="4">
        <f t="shared" si="19"/>
        <v>4.2370823790887906</v>
      </c>
      <c r="D260" s="4">
        <f t="shared" si="16"/>
        <v>185.99840023522353</v>
      </c>
      <c r="E260" s="4">
        <f t="shared" si="17"/>
        <v>185.16582953628247</v>
      </c>
    </row>
    <row r="261" spans="1:5" x14ac:dyDescent="0.4">
      <c r="A261">
        <v>90.75</v>
      </c>
      <c r="B261" s="4">
        <f t="shared" si="18"/>
        <v>2.7157534994820209</v>
      </c>
      <c r="C261" s="4">
        <f t="shared" si="19"/>
        <v>4.2289037877649944</v>
      </c>
      <c r="D261" s="4">
        <f t="shared" si="16"/>
        <v>185.9946204804221</v>
      </c>
      <c r="E261" s="4">
        <f t="shared" si="17"/>
        <v>185.16365684381438</v>
      </c>
    </row>
    <row r="262" spans="1:5" x14ac:dyDescent="0.4">
      <c r="A262">
        <v>91</v>
      </c>
      <c r="B262" s="4">
        <f t="shared" si="18"/>
        <v>2.7142236668381932</v>
      </c>
      <c r="C262" s="4">
        <f t="shared" si="19"/>
        <v>4.2207648566222957</v>
      </c>
      <c r="D262" s="4">
        <f t="shared" si="16"/>
        <v>185.99075188324224</v>
      </c>
      <c r="E262" s="4">
        <f t="shared" si="17"/>
        <v>185.16138751589199</v>
      </c>
    </row>
    <row r="263" spans="1:5" x14ac:dyDescent="0.4">
      <c r="A263">
        <v>91.25</v>
      </c>
      <c r="B263" s="4">
        <f t="shared" si="18"/>
        <v>2.7126979681433814</v>
      </c>
      <c r="C263" s="4">
        <f t="shared" si="19"/>
        <v>4.2126652851461852</v>
      </c>
      <c r="D263" s="4">
        <f t="shared" si="16"/>
        <v>185.98679534135781</v>
      </c>
      <c r="E263" s="4">
        <f t="shared" si="17"/>
        <v>185.15902250923901</v>
      </c>
    </row>
    <row r="264" spans="1:5" x14ac:dyDescent="0.4">
      <c r="A264">
        <v>91.5</v>
      </c>
      <c r="B264" s="4">
        <f t="shared" si="18"/>
        <v>2.711176380430802</v>
      </c>
      <c r="C264" s="4">
        <f t="shared" si="19"/>
        <v>4.2046047759173035</v>
      </c>
      <c r="D264" s="4">
        <f t="shared" si="16"/>
        <v>185.9827517421239</v>
      </c>
      <c r="E264" s="4">
        <f t="shared" si="17"/>
        <v>185.1565627696524</v>
      </c>
    </row>
    <row r="265" spans="1:5" x14ac:dyDescent="0.4">
      <c r="A265">
        <v>91.75</v>
      </c>
      <c r="B265" s="4">
        <f t="shared" si="18"/>
        <v>2.7096588809240174</v>
      </c>
      <c r="C265" s="4">
        <f t="shared" si="19"/>
        <v>4.1965830345712112</v>
      </c>
      <c r="D265" s="4">
        <f t="shared" si="16"/>
        <v>185.97862196271947</v>
      </c>
      <c r="E265" s="4">
        <f t="shared" si="17"/>
        <v>185.15400923215259</v>
      </c>
    </row>
    <row r="266" spans="1:5" x14ac:dyDescent="0.4">
      <c r="A266">
        <v>92</v>
      </c>
      <c r="B266" s="4">
        <f t="shared" si="18"/>
        <v>2.7081454470348381</v>
      </c>
      <c r="C266" s="4">
        <f t="shared" si="19"/>
        <v>4.18859976975875</v>
      </c>
      <c r="D266" s="4">
        <f t="shared" si="16"/>
        <v>185.974406870287</v>
      </c>
      <c r="E266" s="4">
        <f t="shared" si="17"/>
        <v>185.15136282113107</v>
      </c>
    </row>
    <row r="267" spans="1:5" x14ac:dyDescent="0.4">
      <c r="A267">
        <v>92.25</v>
      </c>
      <c r="B267" s="4">
        <f t="shared" si="18"/>
        <v>2.7066360563612601</v>
      </c>
      <c r="C267" s="4">
        <f t="shared" si="19"/>
        <v>4.1806546931070665</v>
      </c>
      <c r="D267" s="4">
        <f t="shared" si="16"/>
        <v>185.97010732207053</v>
      </c>
      <c r="E267" s="4">
        <f t="shared" si="17"/>
        <v>185.14862445049607</v>
      </c>
    </row>
    <row r="268" spans="1:5" x14ac:dyDescent="0.4">
      <c r="A268">
        <v>92.5</v>
      </c>
      <c r="B268" s="4">
        <f t="shared" si="18"/>
        <v>2.7051306866854294</v>
      </c>
      <c r="C268" s="4">
        <f t="shared" si="19"/>
        <v>4.1727475191812253</v>
      </c>
      <c r="D268" s="4">
        <f t="shared" si="16"/>
        <v>185.96572416555082</v>
      </c>
      <c r="E268" s="4">
        <f t="shared" si="17"/>
        <v>185.1457950238152</v>
      </c>
    </row>
    <row r="269" spans="1:5" x14ac:dyDescent="0.4">
      <c r="A269">
        <v>92.75</v>
      </c>
      <c r="B269" s="4">
        <f t="shared" si="18"/>
        <v>2.7036293159716287</v>
      </c>
      <c r="C269" s="4">
        <f t="shared" si="19"/>
        <v>4.164877965446391</v>
      </c>
      <c r="D269" s="4">
        <f t="shared" si="16"/>
        <v>185.96125823857892</v>
      </c>
      <c r="E269" s="4">
        <f t="shared" si="17"/>
        <v>185.14287543445661</v>
      </c>
    </row>
    <row r="270" spans="1:5" x14ac:dyDescent="0.4">
      <c r="A270">
        <v>93</v>
      </c>
      <c r="B270" s="4">
        <f t="shared" si="18"/>
        <v>2.7021319223642988</v>
      </c>
      <c r="C270" s="4">
        <f t="shared" si="19"/>
        <v>4.1570457522306654</v>
      </c>
      <c r="D270" s="4">
        <f t="shared" si="16"/>
        <v>185.95671036950716</v>
      </c>
      <c r="E270" s="4">
        <f t="shared" si="17"/>
        <v>185.13986656572703</v>
      </c>
    </row>
    <row r="271" spans="1:5" x14ac:dyDescent="0.4">
      <c r="A271">
        <v>93.25</v>
      </c>
      <c r="B271" s="4">
        <f t="shared" si="18"/>
        <v>2.7006384841860829</v>
      </c>
      <c r="C271" s="4">
        <f t="shared" si="19"/>
        <v>4.1492506026884231</v>
      </c>
      <c r="D271" s="4">
        <f t="shared" ref="D271:D318" si="20">$B$6*$B$12/9.81*($B$9*SQRT(2/($B$9-1)*(2/($B$9+1))^(($B$9+1)/($B$9-1))*(1 - (A271/$B$3)^(($B$9-1)/$B$9))) + C271/$B$3*(A271 - $E$6))</f>
        <v>185.95208137731822</v>
      </c>
      <c r="E271" s="4">
        <f t="shared" ref="E271:E318" si="21">$B$6*$B$12/9.81*($B$9*SQRT(2/($B$9-1)*(2/($B$9+1))^(($B$9+1)/($B$9-1))*(1 - (A271/$B$3)^(($B$9-1)/$B$9))) + C271/$B$3*(A271 - $E$4))</f>
        <v>185.13676929100831</v>
      </c>
    </row>
    <row r="272" spans="1:5" x14ac:dyDescent="0.4">
      <c r="A272">
        <v>93.5</v>
      </c>
      <c r="B272" s="4">
        <f t="shared" ref="B272:B318" si="22">SQRT(2/($B$9-1)*((A272/$B$3)^((1-$B$9)/$B$9) - 1))</f>
        <v>2.699148979935897</v>
      </c>
      <c r="C272" s="4">
        <f t="shared" ref="C272:C318" si="23">1/B272*(2/($B$9+1)*(1 + ($B$9-1)/2*B272^2))^(($B$9+1)/(2*$B$9-2))</f>
        <v>4.1414922427642642</v>
      </c>
      <c r="D272" s="4">
        <f t="shared" si="20"/>
        <v>185.9473720717522</v>
      </c>
      <c r="E272" s="4">
        <f t="shared" si="21"/>
        <v>185.13358447389132</v>
      </c>
    </row>
    <row r="273" spans="1:5" x14ac:dyDescent="0.4">
      <c r="A273">
        <v>93.75</v>
      </c>
      <c r="B273" s="4">
        <f t="shared" si="22"/>
        <v>2.6976633882870309</v>
      </c>
      <c r="C273" s="4">
        <f t="shared" si="23"/>
        <v>4.1337704011575243</v>
      </c>
      <c r="D273" s="4">
        <f t="shared" si="20"/>
        <v>185.94258325343145</v>
      </c>
      <c r="E273" s="4">
        <f t="shared" si="21"/>
        <v>185.13031296830809</v>
      </c>
    </row>
    <row r="274" spans="1:5" x14ac:dyDescent="0.4">
      <c r="A274">
        <v>94</v>
      </c>
      <c r="B274" s="4">
        <f t="shared" si="22"/>
        <v>2.696181688085264</v>
      </c>
      <c r="C274" s="4">
        <f t="shared" si="23"/>
        <v>4.126084809287268</v>
      </c>
      <c r="D274" s="4">
        <f t="shared" si="20"/>
        <v>185.93771571398352</v>
      </c>
      <c r="E274" s="4">
        <f t="shared" si="21"/>
        <v>185.12695561866121</v>
      </c>
    </row>
    <row r="275" spans="1:5" x14ac:dyDescent="0.4">
      <c r="A275">
        <v>94.25</v>
      </c>
      <c r="B275" s="4">
        <f t="shared" si="22"/>
        <v>2.6947038583470229</v>
      </c>
      <c r="C275" s="4">
        <f t="shared" si="23"/>
        <v>4.1184352012579231</v>
      </c>
      <c r="D275" s="4">
        <f t="shared" si="20"/>
        <v>185.93277023616227</v>
      </c>
      <c r="E275" s="4">
        <f t="shared" si="21"/>
        <v>185.12351325995209</v>
      </c>
    </row>
    <row r="276" spans="1:5" x14ac:dyDescent="0.4">
      <c r="A276">
        <v>94.5</v>
      </c>
      <c r="B276" s="4">
        <f t="shared" si="22"/>
        <v>2.6932298782575455</v>
      </c>
      <c r="C276" s="4">
        <f t="shared" si="23"/>
        <v>4.1108213138253236</v>
      </c>
      <c r="D276" s="4">
        <f t="shared" si="20"/>
        <v>185.92774759396673</v>
      </c>
      <c r="E276" s="4">
        <f t="shared" si="21"/>
        <v>185.11998671790619</v>
      </c>
    </row>
    <row r="277" spans="1:5" x14ac:dyDescent="0.4">
      <c r="A277">
        <v>94.75</v>
      </c>
      <c r="B277" s="4">
        <f t="shared" si="22"/>
        <v>2.6917597271690834</v>
      </c>
      <c r="C277" s="4">
        <f t="shared" si="23"/>
        <v>4.1032428863633568</v>
      </c>
      <c r="D277" s="4">
        <f t="shared" si="20"/>
        <v>185.92264855275869</v>
      </c>
      <c r="E277" s="4">
        <f t="shared" si="21"/>
        <v>185.1163768090974</v>
      </c>
    </row>
    <row r="278" spans="1:5" x14ac:dyDescent="0.4">
      <c r="A278">
        <v>95</v>
      </c>
      <c r="B278" s="4">
        <f t="shared" si="22"/>
        <v>2.6902933845991219</v>
      </c>
      <c r="C278" s="4">
        <f t="shared" si="23"/>
        <v>4.0956996608310892</v>
      </c>
      <c r="D278" s="4">
        <f t="shared" si="20"/>
        <v>185.91747386937755</v>
      </c>
      <c r="E278" s="4">
        <f t="shared" si="21"/>
        <v>185.11268434106915</v>
      </c>
    </row>
    <row r="279" spans="1:5" x14ac:dyDescent="0.4">
      <c r="A279">
        <v>95.25</v>
      </c>
      <c r="B279" s="4">
        <f t="shared" si="22"/>
        <v>2.6888308302286235</v>
      </c>
      <c r="C279" s="4">
        <f t="shared" si="23"/>
        <v>4.0881913817403603</v>
      </c>
      <c r="D279" s="4">
        <f t="shared" si="20"/>
        <v>185.91222429225414</v>
      </c>
      <c r="E279" s="4">
        <f t="shared" si="21"/>
        <v>185.10891011245471</v>
      </c>
    </row>
    <row r="280" spans="1:5" x14ac:dyDescent="0.4">
      <c r="A280">
        <v>95.5</v>
      </c>
      <c r="B280" s="4">
        <f t="shared" si="22"/>
        <v>2.6873720439002993</v>
      </c>
      <c r="C280" s="4">
        <f t="shared" si="23"/>
        <v>4.0807177961239347</v>
      </c>
      <c r="D280" s="4">
        <f t="shared" si="20"/>
        <v>185.90690056152258</v>
      </c>
      <c r="E280" s="4">
        <f t="shared" si="21"/>
        <v>185.10505491309533</v>
      </c>
    </row>
    <row r="281" spans="1:5" x14ac:dyDescent="0.4">
      <c r="A281">
        <v>95.75</v>
      </c>
      <c r="B281" s="4">
        <f t="shared" si="22"/>
        <v>2.6859170056168944</v>
      </c>
      <c r="C281" s="4">
        <f t="shared" si="23"/>
        <v>4.0732786535040493</v>
      </c>
      <c r="D281" s="4">
        <f t="shared" si="20"/>
        <v>185.90150340912973</v>
      </c>
      <c r="E281" s="4">
        <f t="shared" si="21"/>
        <v>185.10111952415579</v>
      </c>
    </row>
    <row r="282" spans="1:5" x14ac:dyDescent="0.4">
      <c r="A282">
        <v>96</v>
      </c>
      <c r="B282" s="4">
        <f t="shared" si="22"/>
        <v>2.6844656955395063</v>
      </c>
      <c r="C282" s="4">
        <f t="shared" si="23"/>
        <v>4.0658737058615069</v>
      </c>
      <c r="D282" s="4">
        <f t="shared" si="20"/>
        <v>185.8960335589442</v>
      </c>
      <c r="E282" s="4">
        <f t="shared" si="21"/>
        <v>185.09710471823959</v>
      </c>
    </row>
    <row r="283" spans="1:5" x14ac:dyDescent="0.4">
      <c r="A283">
        <v>96.25</v>
      </c>
      <c r="B283" s="4">
        <f t="shared" si="22"/>
        <v>2.6830180939859178</v>
      </c>
      <c r="C283" s="4">
        <f t="shared" si="23"/>
        <v>4.0585027076052107</v>
      </c>
      <c r="D283" s="4">
        <f t="shared" si="20"/>
        <v>185.89049172686234</v>
      </c>
      <c r="E283" s="4">
        <f t="shared" si="21"/>
        <v>185.0930112595008</v>
      </c>
    </row>
    <row r="284" spans="1:5" x14ac:dyDescent="0.4">
      <c r="A284">
        <v>96.5</v>
      </c>
      <c r="B284" s="4">
        <f t="shared" si="22"/>
        <v>2.6815741814289562</v>
      </c>
      <c r="C284" s="4">
        <f t="shared" si="23"/>
        <v>4.0511654155421128</v>
      </c>
      <c r="D284" s="4">
        <f t="shared" si="20"/>
        <v>185.88487862091353</v>
      </c>
      <c r="E284" s="4">
        <f t="shared" si="21"/>
        <v>185.08883990375523</v>
      </c>
    </row>
    <row r="285" spans="1:5" x14ac:dyDescent="0.4">
      <c r="A285">
        <v>96.75</v>
      </c>
      <c r="B285" s="4">
        <f t="shared" si="22"/>
        <v>2.6801339384948677</v>
      </c>
      <c r="C285" s="4">
        <f t="shared" si="23"/>
        <v>4.0438615888476779</v>
      </c>
      <c r="D285" s="4">
        <f t="shared" si="20"/>
        <v>185.87919494136318</v>
      </c>
      <c r="E285" s="4">
        <f t="shared" si="21"/>
        <v>185.08459139858951</v>
      </c>
    </row>
    <row r="286" spans="1:5" x14ac:dyDescent="0.4">
      <c r="A286">
        <v>97</v>
      </c>
      <c r="B286" s="4">
        <f t="shared" si="22"/>
        <v>2.6786973459617234</v>
      </c>
      <c r="C286" s="4">
        <f t="shared" si="23"/>
        <v>4.0365909890367488</v>
      </c>
      <c r="D286" s="4">
        <f t="shared" si="20"/>
        <v>185.87344138081474</v>
      </c>
      <c r="E286" s="4">
        <f t="shared" si="21"/>
        <v>185.08026648346845</v>
      </c>
    </row>
    <row r="287" spans="1:5" x14ac:dyDescent="0.4">
      <c r="A287">
        <v>97.25</v>
      </c>
      <c r="B287" s="4">
        <f t="shared" si="22"/>
        <v>2.6772643847578341</v>
      </c>
      <c r="C287" s="4">
        <f t="shared" si="23"/>
        <v>4.029353379934828</v>
      </c>
      <c r="D287" s="4">
        <f t="shared" si="20"/>
        <v>185.86761862430961</v>
      </c>
      <c r="E287" s="4">
        <f t="shared" si="21"/>
        <v>185.07586588984088</v>
      </c>
    </row>
    <row r="288" spans="1:5" x14ac:dyDescent="0.4">
      <c r="A288">
        <v>97.5</v>
      </c>
      <c r="B288" s="4">
        <f t="shared" si="22"/>
        <v>2.675835035960195</v>
      </c>
      <c r="C288" s="4">
        <f t="shared" si="23"/>
        <v>4.0221485276498425</v>
      </c>
      <c r="D288" s="4">
        <f t="shared" si="20"/>
        <v>185.86172734942588</v>
      </c>
      <c r="E288" s="4">
        <f t="shared" si="21"/>
        <v>185.07139034124376</v>
      </c>
    </row>
    <row r="289" spans="1:5" x14ac:dyDescent="0.4">
      <c r="A289">
        <v>97.75</v>
      </c>
      <c r="B289" s="4">
        <f t="shared" si="22"/>
        <v>2.6744092807929456</v>
      </c>
      <c r="C289" s="4">
        <f t="shared" si="23"/>
        <v>4.0149762005442646</v>
      </c>
      <c r="D289" s="4">
        <f t="shared" si="20"/>
        <v>185.85576822637518</v>
      </c>
      <c r="E289" s="4">
        <f t="shared" si="21"/>
        <v>185.06684055340466</v>
      </c>
    </row>
    <row r="290" spans="1:5" x14ac:dyDescent="0.4">
      <c r="A290">
        <v>98</v>
      </c>
      <c r="B290" s="4">
        <f t="shared" si="22"/>
        <v>2.6729871006258503</v>
      </c>
      <c r="C290" s="4">
        <f t="shared" si="23"/>
        <v>4.0078361692076712</v>
      </c>
      <c r="D290" s="4">
        <f t="shared" si="20"/>
        <v>185.84974191809852</v>
      </c>
      <c r="E290" s="4">
        <f t="shared" si="21"/>
        <v>185.06221723434285</v>
      </c>
    </row>
    <row r="291" spans="1:5" x14ac:dyDescent="0.4">
      <c r="A291">
        <v>98.25</v>
      </c>
      <c r="B291" s="4">
        <f t="shared" si="22"/>
        <v>2.6715684769728005</v>
      </c>
      <c r="C291" s="4">
        <f t="shared" si="23"/>
        <v>4.0007282064297156</v>
      </c>
      <c r="D291" s="4">
        <f t="shared" si="20"/>
        <v>185.84364908036028</v>
      </c>
      <c r="E291" s="4">
        <f t="shared" si="21"/>
        <v>185.05752108446876</v>
      </c>
    </row>
    <row r="292" spans="1:5" x14ac:dyDescent="0.4">
      <c r="A292">
        <v>98.5</v>
      </c>
      <c r="B292" s="4">
        <f t="shared" si="22"/>
        <v>2.6701533914903317</v>
      </c>
      <c r="C292" s="4">
        <f t="shared" si="23"/>
        <v>3.9936520871734666</v>
      </c>
      <c r="D292" s="4">
        <f t="shared" si="20"/>
        <v>185.83749036184099</v>
      </c>
      <c r="E292" s="4">
        <f t="shared" si="21"/>
        <v>185.05275279668172</v>
      </c>
    </row>
    <row r="293" spans="1:5" x14ac:dyDescent="0.4">
      <c r="A293">
        <v>98.75</v>
      </c>
      <c r="B293" s="4">
        <f t="shared" si="22"/>
        <v>2.6687418259761655</v>
      </c>
      <c r="C293" s="4">
        <f t="shared" si="23"/>
        <v>3.9866075885491705</v>
      </c>
      <c r="D293" s="4">
        <f t="shared" si="20"/>
        <v>185.83126640422842</v>
      </c>
      <c r="E293" s="4">
        <f t="shared" si="21"/>
        <v>185.04791305646651</v>
      </c>
    </row>
    <row r="294" spans="1:5" x14ac:dyDescent="0.4">
      <c r="A294">
        <v>99</v>
      </c>
      <c r="B294" s="4">
        <f t="shared" si="22"/>
        <v>2.6673337623677629</v>
      </c>
      <c r="C294" s="4">
        <f t="shared" si="23"/>
        <v>3.9795944897883611</v>
      </c>
      <c r="D294" s="4">
        <f t="shared" si="20"/>
        <v>185.8249778423077</v>
      </c>
      <c r="E294" s="4">
        <f t="shared" si="21"/>
        <v>185.0430025419885</v>
      </c>
    </row>
    <row r="295" spans="1:5" x14ac:dyDescent="0.4">
      <c r="A295">
        <v>99.25</v>
      </c>
      <c r="B295" s="4">
        <f t="shared" si="22"/>
        <v>2.6659291827409044</v>
      </c>
      <c r="C295" s="4">
        <f t="shared" si="23"/>
        <v>3.9726125722183911</v>
      </c>
      <c r="D295" s="4">
        <f t="shared" si="20"/>
        <v>185.8186253040497</v>
      </c>
      <c r="E295" s="4">
        <f t="shared" si="21"/>
        <v>185.03802192418686</v>
      </c>
    </row>
    <row r="296" spans="1:5" x14ac:dyDescent="0.4">
      <c r="A296">
        <v>99.5</v>
      </c>
      <c r="B296" s="4">
        <f t="shared" si="22"/>
        <v>2.6645280693082807</v>
      </c>
      <c r="C296" s="4">
        <f t="shared" si="23"/>
        <v>3.9656616192372809</v>
      </c>
      <c r="D296" s="4">
        <f t="shared" si="20"/>
        <v>185.81220941069844</v>
      </c>
      <c r="E296" s="4">
        <f t="shared" si="21"/>
        <v>185.03297186686711</v>
      </c>
    </row>
    <row r="297" spans="1:5" x14ac:dyDescent="0.4">
      <c r="A297">
        <v>99.75</v>
      </c>
      <c r="B297" s="4">
        <f t="shared" si="22"/>
        <v>2.663130404418105</v>
      </c>
      <c r="C297" s="4">
        <f t="shared" si="23"/>
        <v>3.9587414162889609</v>
      </c>
      <c r="D297" s="4">
        <f t="shared" si="20"/>
        <v>185.80573077685659</v>
      </c>
      <c r="E297" s="4">
        <f t="shared" si="21"/>
        <v>185.02785302679135</v>
      </c>
    </row>
    <row r="298" spans="1:5" x14ac:dyDescent="0.4">
      <c r="A298">
        <v>100</v>
      </c>
      <c r="B298" s="4">
        <f t="shared" si="22"/>
        <v>2.661736170552742</v>
      </c>
      <c r="C298" s="4">
        <f t="shared" si="23"/>
        <v>3.951851750838876</v>
      </c>
      <c r="D298" s="4">
        <f t="shared" si="20"/>
        <v>185.79919001057041</v>
      </c>
      <c r="E298" s="4">
        <f t="shared" si="21"/>
        <v>185.02266605376809</v>
      </c>
    </row>
    <row r="299" spans="1:5" x14ac:dyDescent="0.4">
      <c r="A299">
        <v>100.25</v>
      </c>
      <c r="B299" s="4">
        <f t="shared" si="22"/>
        <v>2.660345350327356</v>
      </c>
      <c r="C299" s="4">
        <f t="shared" si="23"/>
        <v>3.9449924123499325</v>
      </c>
      <c r="D299" s="4">
        <f t="shared" si="20"/>
        <v>185.79258771341293</v>
      </c>
      <c r="E299" s="4">
        <f t="shared" si="21"/>
        <v>185.01741159074007</v>
      </c>
    </row>
    <row r="300" spans="1:5" x14ac:dyDescent="0.4">
      <c r="A300">
        <v>100.5</v>
      </c>
      <c r="B300" s="4">
        <f t="shared" si="22"/>
        <v>2.6589579264885708</v>
      </c>
      <c r="C300" s="4">
        <f t="shared" si="23"/>
        <v>3.9381631922587741</v>
      </c>
      <c r="D300" s="4">
        <f t="shared" si="20"/>
        <v>185.78592448056608</v>
      </c>
      <c r="E300" s="4">
        <f t="shared" si="21"/>
        <v>185.01209027387125</v>
      </c>
    </row>
    <row r="301" spans="1:5" x14ac:dyDescent="0.4">
      <c r="A301">
        <v>100.75</v>
      </c>
      <c r="B301" s="4">
        <f t="shared" si="22"/>
        <v>2.6575738819131516</v>
      </c>
      <c r="C301" s="4">
        <f t="shared" si="23"/>
        <v>3.9313638839524354</v>
      </c>
      <c r="D301" s="4">
        <f t="shared" si="20"/>
        <v>185.77920090090149</v>
      </c>
      <c r="E301" s="4">
        <f t="shared" si="21"/>
        <v>185.00670273263174</v>
      </c>
    </row>
    <row r="302" spans="1:5" x14ac:dyDescent="0.4">
      <c r="A302">
        <v>101</v>
      </c>
      <c r="B302" s="4">
        <f t="shared" si="22"/>
        <v>2.6561931996067045</v>
      </c>
      <c r="C302" s="4">
        <f t="shared" si="23"/>
        <v>3.9245942827452933</v>
      </c>
      <c r="D302" s="4">
        <f t="shared" si="20"/>
        <v>185.77241755706012</v>
      </c>
      <c r="E302" s="4">
        <f t="shared" si="21"/>
        <v>185.00124958988266</v>
      </c>
    </row>
    <row r="303" spans="1:5" x14ac:dyDescent="0.4">
      <c r="A303">
        <v>101.25</v>
      </c>
      <c r="B303" s="4">
        <f t="shared" si="22"/>
        <v>2.654815862702383</v>
      </c>
      <c r="C303" s="4">
        <f t="shared" si="23"/>
        <v>3.9178541858563602</v>
      </c>
      <c r="D303" s="4">
        <f t="shared" si="20"/>
        <v>185.76557502553078</v>
      </c>
      <c r="E303" s="4">
        <f t="shared" si="21"/>
        <v>184.99573146195837</v>
      </c>
    </row>
    <row r="304" spans="1:5" x14ac:dyDescent="0.4">
      <c r="A304">
        <v>101.5</v>
      </c>
      <c r="B304" s="4">
        <f t="shared" si="22"/>
        <v>2.6534418544596234</v>
      </c>
      <c r="C304" s="4">
        <f t="shared" si="23"/>
        <v>3.9111433923869097</v>
      </c>
      <c r="D304" s="4">
        <f t="shared" si="20"/>
        <v>185.7586738767275</v>
      </c>
      <c r="E304" s="4">
        <f t="shared" si="21"/>
        <v>184.99014895874876</v>
      </c>
    </row>
    <row r="305" spans="1:5" x14ac:dyDescent="0.4">
      <c r="A305">
        <v>101.75</v>
      </c>
      <c r="B305" s="4">
        <f t="shared" si="22"/>
        <v>2.6520711582628849</v>
      </c>
      <c r="C305" s="4">
        <f t="shared" si="23"/>
        <v>3.9044617032984141</v>
      </c>
      <c r="D305" s="4">
        <f t="shared" si="20"/>
        <v>185.75171467506541</v>
      </c>
      <c r="E305" s="4">
        <f t="shared" si="21"/>
        <v>184.98450268377937</v>
      </c>
    </row>
    <row r="306" spans="1:5" x14ac:dyDescent="0.4">
      <c r="A306">
        <v>102</v>
      </c>
      <c r="B306" s="4">
        <f t="shared" si="22"/>
        <v>2.6507037576204118</v>
      </c>
      <c r="C306" s="4">
        <f t="shared" si="23"/>
        <v>3.8978089213907654</v>
      </c>
      <c r="D306" s="4">
        <f t="shared" si="20"/>
        <v>185.74469797903623</v>
      </c>
      <c r="E306" s="4">
        <f t="shared" si="21"/>
        <v>184.97879323429086</v>
      </c>
    </row>
    <row r="307" spans="1:5" x14ac:dyDescent="0.4">
      <c r="A307">
        <v>102.25</v>
      </c>
      <c r="B307" s="4">
        <f t="shared" si="22"/>
        <v>2.6493396361630088</v>
      </c>
      <c r="C307" s="4">
        <f t="shared" si="23"/>
        <v>3.8911848512808684</v>
      </c>
      <c r="D307" s="4">
        <f t="shared" si="20"/>
        <v>185.73762434128167</v>
      </c>
      <c r="E307" s="4">
        <f t="shared" si="21"/>
        <v>184.9730212013171</v>
      </c>
    </row>
    <row r="308" spans="1:5" x14ac:dyDescent="0.4">
      <c r="A308">
        <v>102.5</v>
      </c>
      <c r="B308" s="4">
        <f t="shared" si="22"/>
        <v>2.6479787776428321</v>
      </c>
      <c r="C308" s="4">
        <f t="shared" si="23"/>
        <v>3.8845892993814601</v>
      </c>
      <c r="D308" s="4">
        <f t="shared" si="20"/>
        <v>185.73049430866672</v>
      </c>
      <c r="E308" s="4">
        <f t="shared" si="21"/>
        <v>184.96718716976218</v>
      </c>
    </row>
    <row r="309" spans="1:5" x14ac:dyDescent="0.4">
      <c r="A309">
        <v>102.75</v>
      </c>
      <c r="B309" s="4">
        <f t="shared" si="22"/>
        <v>2.6466211659321921</v>
      </c>
      <c r="C309" s="4">
        <f t="shared" si="23"/>
        <v>3.8780220738802833</v>
      </c>
      <c r="D309" s="4">
        <f t="shared" si="20"/>
        <v>185.72330842235112</v>
      </c>
      <c r="E309" s="4">
        <f t="shared" si="21"/>
        <v>184.96129171847628</v>
      </c>
    </row>
    <row r="310" spans="1:5" x14ac:dyDescent="0.4">
      <c r="A310">
        <v>103</v>
      </c>
      <c r="B310" s="4">
        <f t="shared" si="22"/>
        <v>2.6452667850223777</v>
      </c>
      <c r="C310" s="4">
        <f t="shared" si="23"/>
        <v>3.871482984719524</v>
      </c>
      <c r="D310" s="4">
        <f t="shared" si="20"/>
        <v>185.71606721786043</v>
      </c>
      <c r="E310" s="4">
        <f t="shared" si="21"/>
        <v>184.95533542033056</v>
      </c>
    </row>
    <row r="311" spans="1:5" x14ac:dyDescent="0.4">
      <c r="A311">
        <v>103.25</v>
      </c>
      <c r="B311" s="4">
        <f t="shared" si="22"/>
        <v>2.6439156190224882</v>
      </c>
      <c r="C311" s="4">
        <f t="shared" si="23"/>
        <v>3.8649718435755553</v>
      </c>
      <c r="D311" s="4">
        <f t="shared" si="20"/>
        <v>185.70877122515532</v>
      </c>
      <c r="E311" s="4">
        <f t="shared" si="21"/>
        <v>184.94931884229052</v>
      </c>
    </row>
    <row r="312" spans="1:5" x14ac:dyDescent="0.4">
      <c r="A312">
        <v>103.5</v>
      </c>
      <c r="B312" s="4">
        <f t="shared" si="22"/>
        <v>2.6425676521582804</v>
      </c>
      <c r="C312" s="4">
        <f t="shared" si="23"/>
        <v>3.8584884638389245</v>
      </c>
      <c r="D312" s="4">
        <f t="shared" si="20"/>
        <v>185.70142096870043</v>
      </c>
      <c r="E312" s="4">
        <f t="shared" si="21"/>
        <v>184.94324254548903</v>
      </c>
    </row>
    <row r="313" spans="1:5" x14ac:dyDescent="0.4">
      <c r="A313">
        <v>103.75</v>
      </c>
      <c r="B313" s="4">
        <f t="shared" si="22"/>
        <v>2.6412228687710377</v>
      </c>
      <c r="C313" s="4">
        <f t="shared" si="23"/>
        <v>3.8520326605946833</v>
      </c>
      <c r="D313" s="4">
        <f t="shared" si="20"/>
        <v>185.69401696753226</v>
      </c>
      <c r="E313" s="4">
        <f t="shared" si="21"/>
        <v>184.93710708529747</v>
      </c>
    </row>
    <row r="314" spans="1:5" x14ac:dyDescent="0.4">
      <c r="A314">
        <v>104</v>
      </c>
      <c r="B314" s="4">
        <f t="shared" si="22"/>
        <v>2.6398812533164375</v>
      </c>
      <c r="C314" s="4">
        <f t="shared" si="23"/>
        <v>3.8456042506029142</v>
      </c>
      <c r="D314" s="4">
        <f t="shared" si="20"/>
        <v>185.68655973532549</v>
      </c>
      <c r="E314" s="4">
        <f t="shared" si="21"/>
        <v>184.9309130113966</v>
      </c>
    </row>
    <row r="315" spans="1:5" x14ac:dyDescent="0.4">
      <c r="A315">
        <v>104.25</v>
      </c>
      <c r="B315" s="4">
        <f t="shared" si="22"/>
        <v>2.6385427903634513</v>
      </c>
      <c r="C315" s="4">
        <f t="shared" si="23"/>
        <v>3.8392030522796143</v>
      </c>
      <c r="D315" s="4">
        <f t="shared" si="20"/>
        <v>185.67904978045917</v>
      </c>
      <c r="E315" s="4">
        <f t="shared" si="21"/>
        <v>184.924660867846</v>
      </c>
    </row>
    <row r="316" spans="1:5" x14ac:dyDescent="0.4">
      <c r="A316">
        <v>104.5</v>
      </c>
      <c r="B316" s="4">
        <f t="shared" si="22"/>
        <v>2.6372074645932391</v>
      </c>
      <c r="C316" s="4">
        <f t="shared" si="23"/>
        <v>3.8328288856777326</v>
      </c>
      <c r="D316" s="4">
        <f t="shared" si="20"/>
        <v>185.67148760608103</v>
      </c>
      <c r="E316" s="4">
        <f t="shared" si="21"/>
        <v>184.91835119315235</v>
      </c>
    </row>
    <row r="317" spans="1:5" x14ac:dyDescent="0.4">
      <c r="A317">
        <v>104.75</v>
      </c>
      <c r="B317" s="4">
        <f t="shared" si="22"/>
        <v>2.6358752607980716</v>
      </c>
      <c r="C317" s="4">
        <f t="shared" si="23"/>
        <v>3.8264815724686003</v>
      </c>
      <c r="D317" s="4">
        <f t="shared" si="20"/>
        <v>185.66387371017166</v>
      </c>
      <c r="E317" s="4">
        <f t="shared" si="21"/>
        <v>184.91198452033711</v>
      </c>
    </row>
    <row r="318" spans="1:5" x14ac:dyDescent="0.4">
      <c r="A318">
        <v>105</v>
      </c>
      <c r="B318" s="4">
        <f t="shared" si="22"/>
        <v>2.6345461638802594</v>
      </c>
      <c r="C318" s="4">
        <f t="shared" si="23"/>
        <v>3.8201609359234765</v>
      </c>
      <c r="D318" s="4">
        <f t="shared" si="20"/>
        <v>185.65620858560749</v>
      </c>
      <c r="E318" s="4">
        <f t="shared" si="21"/>
        <v>184.90556137700327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18"/>
  <sheetViews>
    <sheetView zoomScaleNormal="100" workbookViewId="0">
      <selection activeCell="B3" sqref="B3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6" x14ac:dyDescent="0.4">
      <c r="A1" t="s">
        <v>0</v>
      </c>
      <c r="B1" s="13">
        <f>CONVERT(50000, "ft", "m")</f>
        <v>15240</v>
      </c>
      <c r="C1" t="str">
        <f>"---&gt;"</f>
        <v>---&gt;</v>
      </c>
      <c r="D1" s="1" t="s">
        <v>1</v>
      </c>
      <c r="E1" s="4">
        <f>SQRT(2*9.81*(B1-500))+E2</f>
        <v>762.77207067678773</v>
      </c>
      <c r="F1" s="10"/>
    </row>
    <row r="2" spans="1:16" ht="17.149999999999999" x14ac:dyDescent="0.55000000000000004">
      <c r="A2" t="s">
        <v>2</v>
      </c>
      <c r="B2" s="13">
        <v>4</v>
      </c>
      <c r="D2" s="26" t="s">
        <v>111</v>
      </c>
      <c r="E2" s="13">
        <v>225</v>
      </c>
    </row>
    <row r="3" spans="1:16" ht="17.149999999999999" x14ac:dyDescent="0.55000000000000004">
      <c r="A3" t="s">
        <v>3</v>
      </c>
      <c r="B3" s="14">
        <f>CONVERT(350,"psi","Pa")/1000</f>
        <v>2413.165052608927</v>
      </c>
      <c r="D3" t="s">
        <v>4</v>
      </c>
      <c r="E3">
        <v>1311</v>
      </c>
    </row>
    <row r="4" spans="1:16" ht="17.149999999999999" x14ac:dyDescent="0.55000000000000004">
      <c r="A4" s="1" t="s">
        <v>5</v>
      </c>
      <c r="B4" s="13">
        <v>10</v>
      </c>
      <c r="D4" t="s">
        <v>6</v>
      </c>
      <c r="E4" s="4">
        <f>101.325*(1 - 0.0065*E3/288.16)^(-9.81/-0.0065/287)</f>
        <v>86.528880457303998</v>
      </c>
      <c r="F4" s="2" t="s">
        <v>7</v>
      </c>
    </row>
    <row r="5" spans="1:16" ht="17.149999999999999" x14ac:dyDescent="0.55000000000000004">
      <c r="A5" s="1" t="s">
        <v>8</v>
      </c>
      <c r="B5">
        <v>0.9</v>
      </c>
      <c r="D5" s="1" t="s">
        <v>9</v>
      </c>
      <c r="E5" s="4">
        <f>101.325*(1 - 0.0065*2/3*B1/288.16)^(-9.81/-0.0065/287)</f>
        <v>25.777916027744954</v>
      </c>
      <c r="F5" s="2" t="s">
        <v>10</v>
      </c>
    </row>
    <row r="6" spans="1:16" x14ac:dyDescent="0.4">
      <c r="A6" s="1" t="s">
        <v>11</v>
      </c>
      <c r="B6">
        <v>0.9</v>
      </c>
    </row>
    <row r="7" spans="1:16" ht="17.149999999999999" x14ac:dyDescent="0.55000000000000004">
      <c r="A7" s="1" t="s">
        <v>12</v>
      </c>
      <c r="B7">
        <f>19/30</f>
        <v>0.6333333333333333</v>
      </c>
    </row>
    <row r="9" spans="1:16" x14ac:dyDescent="0.4">
      <c r="A9" s="1" t="s">
        <v>13</v>
      </c>
      <c r="B9">
        <v>1.2585999999999999</v>
      </c>
    </row>
    <row r="10" spans="1:16" x14ac:dyDescent="0.4">
      <c r="A10" s="1" t="s">
        <v>15</v>
      </c>
      <c r="B10">
        <v>22.117999999999999</v>
      </c>
      <c r="C10" t="str">
        <f>"---&gt;"</f>
        <v>---&gt;</v>
      </c>
      <c r="D10" t="s">
        <v>16</v>
      </c>
      <c r="E10">
        <f>8314/B10</f>
        <v>375.89293787865091</v>
      </c>
      <c r="H10" s="4">
        <f>E244</f>
        <v>178.92828976583829</v>
      </c>
      <c r="N10" s="6"/>
    </row>
    <row r="11" spans="1:16" ht="17.149999999999999" x14ac:dyDescent="0.55000000000000004">
      <c r="A11" s="1" t="s">
        <v>17</v>
      </c>
      <c r="B11">
        <v>2591.1</v>
      </c>
    </row>
    <row r="12" spans="1:16" x14ac:dyDescent="0.4">
      <c r="A12" s="1" t="s">
        <v>18</v>
      </c>
      <c r="B12" s="4">
        <f>B5*SQRT(B9*E10*B11)/B9/(2/(B9 + 1))^((B9 + 1)/(2*B9 - 2))</f>
        <v>1346.4489314165457</v>
      </c>
      <c r="H12" t="s">
        <v>19</v>
      </c>
      <c r="J12" t="s">
        <v>20</v>
      </c>
      <c r="M12" t="s">
        <v>21</v>
      </c>
      <c r="P12" s="10" t="s">
        <v>63</v>
      </c>
    </row>
    <row r="13" spans="1:16" ht="17.149999999999999" x14ac:dyDescent="0.55000000000000004">
      <c r="D13" s="9" t="s">
        <v>22</v>
      </c>
      <c r="E13" s="3" t="s">
        <v>23</v>
      </c>
      <c r="H13" s="1" t="s">
        <v>24</v>
      </c>
      <c r="I13">
        <f>0.2*B3</f>
        <v>482.63301052178542</v>
      </c>
      <c r="J13">
        <f>CONVERT(I13*1000, "Pa", "psi")</f>
        <v>70.000000000000014</v>
      </c>
      <c r="M13" s="1" t="s">
        <v>28</v>
      </c>
      <c r="N13" s="4">
        <f>C244</f>
        <v>4.2293874137003593</v>
      </c>
      <c r="O13" t="s">
        <v>64</v>
      </c>
    </row>
    <row r="14" spans="1:16" ht="17.600000000000001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30</v>
      </c>
      <c r="I14">
        <v>0</v>
      </c>
      <c r="J14" s="2" t="s">
        <v>31</v>
      </c>
      <c r="M14" t="s">
        <v>25</v>
      </c>
      <c r="N14">
        <f>I26*B12/(B3*1000)</f>
        <v>1.3105891017235515E-3</v>
      </c>
      <c r="O14" s="18">
        <f>SQRT(N14/PI())*2</f>
        <v>4.0849649584951894E-2</v>
      </c>
      <c r="P14" s="10" t="s">
        <v>65</v>
      </c>
    </row>
    <row r="15" spans="1:16" ht="17.600000000000001" x14ac:dyDescent="0.55000000000000004">
      <c r="A15">
        <v>29.5</v>
      </c>
      <c r="B15" s="4">
        <f>SQRT(2/($B$9-1)*((A15/$B$3)^((1-$B$9)/$B$9) - 1))</f>
        <v>3.3738163527830762</v>
      </c>
      <c r="C15" s="4">
        <f>1/B15*(2/($B$9+1)*(1 + ($B$9-1)/2*B15^2))^(($B$9+1)/(2*$B$9-2))</f>
        <v>9.0682198458190868</v>
      </c>
      <c r="D15" s="4">
        <f t="shared" ref="D15:D78" si="0">$B$6*$B$12/9.81*($B$9*SQRT(2/($B$9-1)*(2/($B$9+1))^(($B$9+1)/($B$9-1))*(1 - (A15/$B$3)^(($B$9-1)/$B$9))) + C15/$B$3*(A15 - $E$5))</f>
        <v>197.90608971551285</v>
      </c>
      <c r="E15" s="4">
        <f>$B$6*$B$12/9.81*($B$9*SQRT(2/($B$9-1)*(2/($B$9+1))^(($B$9+1)/($B$9-1))*(1 - (A15/$B$3)^(($B$9-1)/$B$9))) + C15/$B$3*(A15 - $E$4))</f>
        <v>169.70592934982247</v>
      </c>
      <c r="H15" s="1" t="s">
        <v>33</v>
      </c>
      <c r="I15">
        <f>0.5*B3/E10/B11*1^2</f>
        <v>1.2388213767809849E-3</v>
      </c>
      <c r="J15" s="2" t="s">
        <v>34</v>
      </c>
      <c r="M15" t="s">
        <v>32</v>
      </c>
      <c r="N15">
        <f>N14*N13</f>
        <v>5.5429890513624489E-3</v>
      </c>
      <c r="O15" s="18">
        <f>SQRT(N15/PI())*2</f>
        <v>8.4009242683342381E-2</v>
      </c>
      <c r="P15" s="10" t="s">
        <v>66</v>
      </c>
    </row>
    <row r="16" spans="1:16" ht="17.149999999999999" x14ac:dyDescent="0.55000000000000004">
      <c r="A16">
        <v>29.75</v>
      </c>
      <c r="B16" s="4">
        <f t="shared" ref="B16:B79" si="1">SQRT(2/($B$9-1)*((A16/$B$3)^((1-$B$9)/$B$9) - 1))</f>
        <v>3.3689047440232009</v>
      </c>
      <c r="C16" s="4">
        <f t="shared" ref="C16:C79" si="2">1/B16*(2/($B$9+1)*(1 + ($B$9-1)/2*B16^2))^(($B$9+1)/(2*$B$9-2))</f>
        <v>9.0129363951993753</v>
      </c>
      <c r="D16" s="4">
        <f t="shared" si="0"/>
        <v>197.89520371681331</v>
      </c>
      <c r="E16" s="4">
        <f t="shared" ref="E16:E79" si="3">$B$6*$B$12/9.81*($B$9*SQRT(2/($B$9-1)*(2/($B$9+1))^(($B$9+1)/($B$9-1))*(1 - (A16/$B$3)^(($B$9-1)/$B$9))) + C16/$B$3*(A16 - $E$4))</f>
        <v>169.86696266930792</v>
      </c>
      <c r="H16" s="1" t="s">
        <v>36</v>
      </c>
      <c r="I16" s="16">
        <f>B3+I13+I14+I15</f>
        <v>2895.7993019520891</v>
      </c>
      <c r="J16" s="4">
        <f>CONVERT(I16*1000, "Pa", "psi")</f>
        <v>420.00017967585001</v>
      </c>
    </row>
    <row r="17" spans="1:19" x14ac:dyDescent="0.4">
      <c r="A17">
        <v>30</v>
      </c>
      <c r="B17" s="4">
        <f t="shared" si="1"/>
        <v>3.3640355764241252</v>
      </c>
      <c r="C17" s="4">
        <f t="shared" si="2"/>
        <v>8.9584636260983128</v>
      </c>
      <c r="D17" s="4">
        <f t="shared" si="0"/>
        <v>197.88378024295594</v>
      </c>
      <c r="E17" s="4">
        <f t="shared" si="3"/>
        <v>170.02493747320858</v>
      </c>
    </row>
    <row r="18" spans="1:19" x14ac:dyDescent="0.4">
      <c r="A18">
        <v>30.25</v>
      </c>
      <c r="B18" s="4">
        <f t="shared" si="1"/>
        <v>3.3592081259673567</v>
      </c>
      <c r="C18" s="4">
        <f t="shared" si="2"/>
        <v>8.904783016662444</v>
      </c>
      <c r="D18" s="4">
        <f t="shared" si="0"/>
        <v>197.87183592200392</v>
      </c>
      <c r="E18" s="4">
        <f t="shared" si="3"/>
        <v>170.17992798846012</v>
      </c>
    </row>
    <row r="19" spans="1:19" x14ac:dyDescent="0.4">
      <c r="A19">
        <v>30.5</v>
      </c>
      <c r="B19" s="4">
        <f t="shared" si="1"/>
        <v>3.3544216868767442</v>
      </c>
      <c r="C19" s="4">
        <f t="shared" si="2"/>
        <v>8.8518766171078997</v>
      </c>
      <c r="D19" s="4">
        <f t="shared" si="0"/>
        <v>197.85938680552991</v>
      </c>
      <c r="E19" s="4">
        <f t="shared" si="3"/>
        <v>170.33200608649747</v>
      </c>
      <c r="H19" t="s">
        <v>37</v>
      </c>
      <c r="K19" t="s">
        <v>38</v>
      </c>
    </row>
    <row r="20" spans="1:19" ht="17.600000000000001" x14ac:dyDescent="0.55000000000000004">
      <c r="A20">
        <v>30.75</v>
      </c>
      <c r="B20" s="4">
        <f t="shared" si="1"/>
        <v>3.3496755710132011</v>
      </c>
      <c r="C20" s="4">
        <f t="shared" si="2"/>
        <v>8.7997270275313451</v>
      </c>
      <c r="D20" s="4">
        <f t="shared" si="0"/>
        <v>197.84644839239499</v>
      </c>
      <c r="E20" s="4">
        <f t="shared" si="3"/>
        <v>170.48124137603719</v>
      </c>
      <c r="H20" t="s">
        <v>39</v>
      </c>
      <c r="I20" s="14">
        <f>CONVERT(60, "lbm", "kg")</f>
        <v>27.215542200000002</v>
      </c>
      <c r="K20" t="s">
        <v>40</v>
      </c>
      <c r="L20" s="13">
        <v>1978.5966242545248</v>
      </c>
      <c r="M20" s="10" t="s">
        <v>41</v>
      </c>
    </row>
    <row r="21" spans="1:19" ht="17.600000000000001" x14ac:dyDescent="0.55000000000000004">
      <c r="A21">
        <v>31</v>
      </c>
      <c r="B21" s="4">
        <f t="shared" si="1"/>
        <v>3.3449691072942636</v>
      </c>
      <c r="C21" s="4">
        <f t="shared" si="2"/>
        <v>8.7483173767541018</v>
      </c>
      <c r="D21" s="4">
        <f t="shared" si="0"/>
        <v>197.83303565137794</v>
      </c>
      <c r="E21" s="4">
        <f t="shared" si="3"/>
        <v>170.62770129149641</v>
      </c>
      <c r="H21" t="s">
        <v>42</v>
      </c>
      <c r="I21" s="4">
        <f>I20*EXP(E1/H10/9.81)</f>
        <v>42.028385234476232</v>
      </c>
      <c r="K21" t="s">
        <v>43</v>
      </c>
      <c r="L21" s="21">
        <f>I28/1/L20</f>
        <v>9.4972182133622196E-4</v>
      </c>
      <c r="M21" s="4">
        <f>L21*100^2</f>
        <v>9.4972182133622187</v>
      </c>
      <c r="N21" t="s">
        <v>44</v>
      </c>
      <c r="O21" t="s">
        <v>67</v>
      </c>
    </row>
    <row r="22" spans="1:19" ht="17.149999999999999" x14ac:dyDescent="0.55000000000000004">
      <c r="A22">
        <v>31.25</v>
      </c>
      <c r="B22" s="4">
        <f t="shared" si="1"/>
        <v>3.3403016411372644</v>
      </c>
      <c r="C22" s="4">
        <f t="shared" si="2"/>
        <v>8.6976313021432432</v>
      </c>
      <c r="D22" s="4">
        <f t="shared" si="0"/>
        <v>197.81916304271758</v>
      </c>
      <c r="E22" s="4">
        <f t="shared" si="3"/>
        <v>170.7714511772877</v>
      </c>
      <c r="H22" t="s">
        <v>45</v>
      </c>
      <c r="I22" s="7">
        <f>I21-I20</f>
        <v>14.812843034476231</v>
      </c>
      <c r="K22" t="s">
        <v>46</v>
      </c>
      <c r="L22" s="17">
        <f>2*SQRT(L21/PI())</f>
        <v>3.4773889334142376E-2</v>
      </c>
      <c r="M22" s="4">
        <f>L22*100</f>
        <v>3.4773889334142374</v>
      </c>
      <c r="N22" t="s">
        <v>47</v>
      </c>
      <c r="O22" s="8">
        <f>CONVERT(L22, "m", "in")</f>
        <v>1.3690507611867078</v>
      </c>
      <c r="P22" s="4"/>
    </row>
    <row r="23" spans="1:19" ht="17.149999999999999" x14ac:dyDescent="0.55000000000000004">
      <c r="A23">
        <v>31.5</v>
      </c>
      <c r="B23" s="4">
        <f t="shared" si="1"/>
        <v>3.3356725339249911</v>
      </c>
      <c r="C23" s="4">
        <f t="shared" si="2"/>
        <v>8.6476529303572143</v>
      </c>
      <c r="D23" s="4">
        <f t="shared" si="0"/>
        <v>197.8048445386296</v>
      </c>
      <c r="E23" s="4">
        <f t="shared" si="3"/>
        <v>170.91255436821208</v>
      </c>
      <c r="H23" t="s">
        <v>48</v>
      </c>
      <c r="I23" s="15">
        <f>I22/(1+B2)</f>
        <v>2.9625686068952461</v>
      </c>
      <c r="K23" t="s">
        <v>49</v>
      </c>
      <c r="L23" s="18">
        <f>(I27*PI()^(0.5-1)/(0.155/1000*(4*I26)^0.5*900)*L22^(2*0.5-1))^(1/(0+1))</f>
        <v>0.61984442979806342</v>
      </c>
      <c r="M23" s="4">
        <f>L23*100</f>
        <v>61.984442979806346</v>
      </c>
      <c r="N23" t="s">
        <v>47</v>
      </c>
      <c r="O23" s="8">
        <f>CONVERT(L23, "m", "in")</f>
        <v>24.403324007797774</v>
      </c>
      <c r="P23" s="10" t="s">
        <v>68</v>
      </c>
    </row>
    <row r="24" spans="1:19" ht="17.149999999999999" x14ac:dyDescent="0.55000000000000004">
      <c r="A24">
        <v>31.75</v>
      </c>
      <c r="B24" s="4">
        <f t="shared" si="1"/>
        <v>3.3310811624927492</v>
      </c>
      <c r="C24" s="4">
        <f t="shared" si="2"/>
        <v>8.5983668589667648</v>
      </c>
      <c r="D24" s="4">
        <f t="shared" si="0"/>
        <v>197.79009364285241</v>
      </c>
      <c r="E24" s="4">
        <f t="shared" si="3"/>
        <v>171.0510722661603</v>
      </c>
      <c r="H24" t="s">
        <v>51</v>
      </c>
      <c r="I24" s="15">
        <f>I22-I23</f>
        <v>11.850274427580985</v>
      </c>
      <c r="K24" t="s">
        <v>52</v>
      </c>
      <c r="L24" s="18">
        <f>SQRT(4*I23/PI()/L23/900/1 + L22^2)</f>
        <v>8.927980332809235E-2</v>
      </c>
      <c r="M24" s="4">
        <f t="shared" ref="M24:M25" si="4">L24*100</f>
        <v>8.9279803328092342</v>
      </c>
      <c r="N24" t="s">
        <v>47</v>
      </c>
      <c r="O24" s="8">
        <f t="shared" ref="O24:O25" si="5">CONVERT(L24, "m", "in")</f>
        <v>3.5149528869327695</v>
      </c>
    </row>
    <row r="25" spans="1:19" ht="17.149999999999999" x14ac:dyDescent="0.55000000000000004">
      <c r="A25">
        <v>32</v>
      </c>
      <c r="B25" s="4">
        <f t="shared" si="1"/>
        <v>3.3265269186357904</v>
      </c>
      <c r="C25" s="4">
        <f t="shared" si="2"/>
        <v>8.5497581389045738</v>
      </c>
      <c r="D25" s="4">
        <f t="shared" si="0"/>
        <v>197.77492340927608</v>
      </c>
      <c r="E25" s="4">
        <f t="shared" si="3"/>
        <v>171.18706441331926</v>
      </c>
      <c r="H25" t="s">
        <v>53</v>
      </c>
      <c r="I25" s="7">
        <f>I20/I21</f>
        <v>0.64755145952347626</v>
      </c>
      <c r="K25" t="s">
        <v>54</v>
      </c>
      <c r="L25" s="18">
        <f>(L24-L22)/2</f>
        <v>2.7252956996974987E-2</v>
      </c>
      <c r="M25" s="4">
        <f t="shared" si="4"/>
        <v>2.7252956996974986</v>
      </c>
      <c r="N25" t="s">
        <v>47</v>
      </c>
      <c r="O25" s="4">
        <f t="shared" si="5"/>
        <v>1.072951062873031</v>
      </c>
    </row>
    <row r="26" spans="1:19" ht="17.149999999999999" x14ac:dyDescent="0.55000000000000004">
      <c r="A26">
        <v>32.25</v>
      </c>
      <c r="B26" s="4">
        <f t="shared" si="1"/>
        <v>3.322009208636183</v>
      </c>
      <c r="C26" s="4">
        <f t="shared" si="2"/>
        <v>8.5018122577004203</v>
      </c>
      <c r="D26" s="4">
        <f t="shared" si="0"/>
        <v>197.75934645970352</v>
      </c>
      <c r="E26" s="4">
        <f t="shared" si="3"/>
        <v>171.32058856206805</v>
      </c>
      <c r="H26" t="s">
        <v>55</v>
      </c>
      <c r="I26" s="15">
        <f>B4*I21/H10</f>
        <v>2.3488954870958847</v>
      </c>
      <c r="K26" t="s">
        <v>69</v>
      </c>
      <c r="M26">
        <v>0</v>
      </c>
    </row>
    <row r="27" spans="1:19" ht="17.149999999999999" x14ac:dyDescent="0.55000000000000004">
      <c r="A27">
        <v>32.5</v>
      </c>
      <c r="B27" s="4">
        <f t="shared" si="1"/>
        <v>3.3175274528081737</v>
      </c>
      <c r="C27" s="4">
        <f t="shared" si="2"/>
        <v>8.4545151234606521</v>
      </c>
      <c r="D27" s="4">
        <f t="shared" si="0"/>
        <v>197.74337500078983</v>
      </c>
      <c r="E27" s="4">
        <f t="shared" si="3"/>
        <v>171.45170074173791</v>
      </c>
      <c r="H27" t="s">
        <v>57</v>
      </c>
      <c r="I27" s="8">
        <f>I26/(1 + B2)</f>
        <v>0.46977909741917695</v>
      </c>
      <c r="L27" s="10" t="s">
        <v>70</v>
      </c>
      <c r="M27" s="20"/>
    </row>
    <row r="28" spans="1:19" ht="17.149999999999999" x14ac:dyDescent="0.55000000000000004">
      <c r="A28">
        <v>32.75</v>
      </c>
      <c r="B28" s="4">
        <f t="shared" si="1"/>
        <v>3.3130810850612122</v>
      </c>
      <c r="C28" s="4">
        <f t="shared" si="2"/>
        <v>8.4078530495536921</v>
      </c>
      <c r="D28" s="4">
        <f t="shared" si="0"/>
        <v>197.7270208402046</v>
      </c>
      <c r="E28" s="4">
        <f t="shared" si="3"/>
        <v>171.58045532239908</v>
      </c>
      <c r="H28" t="s">
        <v>58</v>
      </c>
      <c r="I28" s="7">
        <f>I26-I27</f>
        <v>1.8791163896767078</v>
      </c>
    </row>
    <row r="29" spans="1:19" x14ac:dyDescent="0.4">
      <c r="A29">
        <v>33</v>
      </c>
      <c r="B29" s="4">
        <f t="shared" si="1"/>
        <v>3.3086695524798015</v>
      </c>
      <c r="C29" s="4">
        <f t="shared" si="2"/>
        <v>8.3618127399651385</v>
      </c>
      <c r="D29" s="4">
        <f t="shared" si="0"/>
        <v>197.71029540205697</v>
      </c>
      <c r="E29" s="4">
        <f t="shared" si="3"/>
        <v>171.70690507582799</v>
      </c>
      <c r="H29" s="1"/>
      <c r="I29" s="7"/>
      <c r="S29" s="7"/>
    </row>
    <row r="30" spans="1:19" x14ac:dyDescent="0.4">
      <c r="A30">
        <v>33.25</v>
      </c>
      <c r="B30" s="4">
        <f t="shared" si="1"/>
        <v>3.3042923149194174</v>
      </c>
      <c r="C30" s="4">
        <f t="shared" si="2"/>
        <v>8.3163812752884994</v>
      </c>
      <c r="D30" s="4">
        <f t="shared" si="0"/>
        <v>197.69320974162287</v>
      </c>
      <c r="E30" s="4">
        <f t="shared" si="3"/>
        <v>171.83110123380061</v>
      </c>
      <c r="K30" s="4"/>
      <c r="M30" s="4"/>
      <c r="N30" s="4"/>
    </row>
    <row r="31" spans="1:19" x14ac:dyDescent="0.4">
      <c r="A31">
        <v>33.5</v>
      </c>
      <c r="B31" s="4">
        <f t="shared" si="1"/>
        <v>3.2999488446177572</v>
      </c>
      <c r="C31" s="4">
        <f t="shared" si="2"/>
        <v>8.2715460993194387</v>
      </c>
      <c r="D31" s="4">
        <f t="shared" si="0"/>
        <v>197.67577455941043</v>
      </c>
      <c r="E31" s="4">
        <f t="shared" si="3"/>
        <v>171.95309354384668</v>
      </c>
      <c r="H31" s="22" t="s">
        <v>71</v>
      </c>
    </row>
    <row r="32" spans="1:19" x14ac:dyDescent="0.4">
      <c r="A32">
        <v>33.75</v>
      </c>
      <c r="B32" s="4">
        <f t="shared" si="1"/>
        <v>3.2956386258206369</v>
      </c>
      <c r="C32" s="4">
        <f t="shared" si="2"/>
        <v>8.2272950062231249</v>
      </c>
      <c r="D32" s="4">
        <f t="shared" si="0"/>
        <v>197.65800021459796</v>
      </c>
      <c r="E32" s="4">
        <f t="shared" si="3"/>
        <v>172.07293032259432</v>
      </c>
      <c r="H32" t="s">
        <v>37</v>
      </c>
      <c r="K32" t="s">
        <v>38</v>
      </c>
    </row>
    <row r="33" spans="1:15" ht="17.600000000000001" x14ac:dyDescent="0.55000000000000004">
      <c r="A33">
        <v>34</v>
      </c>
      <c r="B33" s="4">
        <f t="shared" si="1"/>
        <v>3.291361154421871</v>
      </c>
      <c r="C33" s="4">
        <f t="shared" si="2"/>
        <v>8.1836161282462747</v>
      </c>
      <c r="D33" s="4">
        <f t="shared" si="0"/>
        <v>197.6398967378764</v>
      </c>
      <c r="E33" s="4">
        <f t="shared" si="3"/>
        <v>172.19065850682534</v>
      </c>
      <c r="H33" t="s">
        <v>39</v>
      </c>
      <c r="I33" s="14">
        <f>I20</f>
        <v>27.215542200000002</v>
      </c>
      <c r="K33" t="s">
        <v>40</v>
      </c>
      <c r="L33" s="13">
        <v>400</v>
      </c>
      <c r="M33" s="10" t="s">
        <v>41</v>
      </c>
    </row>
    <row r="34" spans="1:15" ht="17.600000000000001" x14ac:dyDescent="0.55000000000000004">
      <c r="A34">
        <v>34.25</v>
      </c>
      <c r="B34" s="4">
        <f t="shared" si="1"/>
        <v>3.2871159376165124</v>
      </c>
      <c r="C34" s="4">
        <f t="shared" si="2"/>
        <v>8.1404979239467963</v>
      </c>
      <c r="D34" s="4">
        <f t="shared" si="0"/>
        <v>197.6214738437267</v>
      </c>
      <c r="E34" s="4">
        <f t="shared" si="3"/>
        <v>172.30632370235583</v>
      </c>
      <c r="H34" t="s">
        <v>42</v>
      </c>
      <c r="I34" s="4">
        <f>I33+I35</f>
        <v>45.965542200000002</v>
      </c>
      <c r="K34" t="s">
        <v>43</v>
      </c>
      <c r="L34" s="21">
        <f>I41/1/L33</f>
        <v>5.1378730842567884E-3</v>
      </c>
      <c r="M34" s="4">
        <f>L34*100^2</f>
        <v>51.378730842567883</v>
      </c>
      <c r="N34" t="s">
        <v>44</v>
      </c>
      <c r="O34" t="s">
        <v>67</v>
      </c>
    </row>
    <row r="35" spans="1:15" ht="17.149999999999999" x14ac:dyDescent="0.55000000000000004">
      <c r="A35">
        <v>34.5</v>
      </c>
      <c r="B35" s="4">
        <f t="shared" si="1"/>
        <v>3.2829024935668807</v>
      </c>
      <c r="C35" s="4">
        <f t="shared" si="2"/>
        <v>8.0979291669159164</v>
      </c>
      <c r="D35" s="4">
        <f t="shared" si="0"/>
        <v>197.60274094216072</v>
      </c>
      <c r="E35" s="4">
        <f t="shared" si="3"/>
        <v>172.4199702308488</v>
      </c>
      <c r="H35" t="s">
        <v>45</v>
      </c>
      <c r="I35" s="7">
        <f>I36+I37</f>
        <v>18.75</v>
      </c>
      <c r="K35" t="s">
        <v>46</v>
      </c>
      <c r="L35" s="17">
        <f>2*SQRT(L34/PI())</f>
        <v>8.0881043432352931E-2</v>
      </c>
      <c r="M35" s="4">
        <f>L35*100</f>
        <v>8.0881043432352939</v>
      </c>
      <c r="N35" t="s">
        <v>47</v>
      </c>
      <c r="O35" s="8">
        <f>CONVERT(L35, "m", "in")</f>
        <v>3.1842930485178322</v>
      </c>
    </row>
    <row r="36" spans="1:15" ht="17.149999999999999" x14ac:dyDescent="0.55000000000000004">
      <c r="A36">
        <v>34.75</v>
      </c>
      <c r="B36" s="4">
        <f t="shared" si="1"/>
        <v>3.2787203510807905</v>
      </c>
      <c r="C36" s="4">
        <f t="shared" si="2"/>
        <v>8.0558989349683667</v>
      </c>
      <c r="D36" s="4">
        <f t="shared" si="0"/>
        <v>197.58370714995232</v>
      </c>
      <c r="E36" s="4">
        <f t="shared" si="3"/>
        <v>172.53164117466139</v>
      </c>
      <c r="H36" t="s">
        <v>48</v>
      </c>
      <c r="I36" s="15">
        <f>I37/B2</f>
        <v>3.75</v>
      </c>
      <c r="K36" t="s">
        <v>49</v>
      </c>
      <c r="L36" s="18">
        <f>(I40*PI()^(0.5-1)/(0.155/1000*(4*I39)^0.5*900)*L35^(2*0.5-1))^(1/(0+1))</f>
        <v>0.64822763873065969</v>
      </c>
      <c r="M36" s="4">
        <f>L36*100</f>
        <v>64.822763873065966</v>
      </c>
      <c r="N36" t="s">
        <v>47</v>
      </c>
      <c r="O36" s="8">
        <f t="shared" ref="O36:O38" si="6">CONVERT(L36, "m", "in")</f>
        <v>25.52077317837243</v>
      </c>
    </row>
    <row r="37" spans="1:15" ht="17.149999999999999" x14ac:dyDescent="0.55000000000000004">
      <c r="A37">
        <v>35</v>
      </c>
      <c r="B37" s="4">
        <f t="shared" si="1"/>
        <v>3.2745690493014741</v>
      </c>
      <c r="C37" s="4">
        <f t="shared" si="2"/>
        <v>8.0143965997783599</v>
      </c>
      <c r="D37" s="4">
        <f t="shared" si="0"/>
        <v>197.56438130138491</v>
      </c>
      <c r="E37" s="4">
        <f t="shared" si="3"/>
        <v>172.64137841982219</v>
      </c>
      <c r="H37" t="s">
        <v>51</v>
      </c>
      <c r="I37" s="23">
        <v>15</v>
      </c>
      <c r="K37" t="s">
        <v>52</v>
      </c>
      <c r="L37" s="18">
        <f>SQRT(4*I36/PI()/L36/900/1 + L35^2)</f>
        <v>0.12135011670934601</v>
      </c>
      <c r="M37" s="4">
        <f t="shared" ref="M37:M38" si="7">L37*100</f>
        <v>12.135011670934601</v>
      </c>
      <c r="N37" t="s">
        <v>47</v>
      </c>
      <c r="O37" s="8">
        <f t="shared" si="6"/>
        <v>4.777563649974252</v>
      </c>
    </row>
    <row r="38" spans="1:15" ht="17.149999999999999" x14ac:dyDescent="0.55000000000000004">
      <c r="A38">
        <v>35.25</v>
      </c>
      <c r="B38" s="4">
        <f t="shared" si="1"/>
        <v>3.2704481374086809</v>
      </c>
      <c r="C38" s="4">
        <f t="shared" si="2"/>
        <v>7.9734118169398442</v>
      </c>
      <c r="D38" s="4">
        <f t="shared" si="0"/>
        <v>197.54477195853804</v>
      </c>
      <c r="E38" s="4">
        <f t="shared" si="3"/>
        <v>172.74922269722822</v>
      </c>
      <c r="H38" t="s">
        <v>53</v>
      </c>
      <c r="I38" s="7">
        <f>I33/I34</f>
        <v>0.59208574287197246</v>
      </c>
      <c r="K38" t="s">
        <v>54</v>
      </c>
      <c r="L38" s="18">
        <f>(L37-L35)/2</f>
        <v>2.0234536638496538E-2</v>
      </c>
      <c r="M38" s="4">
        <f t="shared" si="7"/>
        <v>2.0234536638496539</v>
      </c>
      <c r="N38" t="s">
        <v>47</v>
      </c>
      <c r="O38" s="4">
        <f t="shared" si="6"/>
        <v>0.79663530072821021</v>
      </c>
    </row>
    <row r="39" spans="1:15" ht="17.149999999999999" x14ac:dyDescent="0.55000000000000004">
      <c r="A39">
        <v>35.5</v>
      </c>
      <c r="B39" s="4">
        <f t="shared" si="1"/>
        <v>3.2663571743304733</v>
      </c>
      <c r="C39" s="4">
        <f t="shared" si="2"/>
        <v>7.9329345164305733</v>
      </c>
      <c r="D39" s="4">
        <f t="shared" si="0"/>
        <v>197.52488742113653</v>
      </c>
      <c r="E39" s="4">
        <f t="shared" si="3"/>
        <v>172.85521362214891</v>
      </c>
      <c r="H39" t="s">
        <v>55</v>
      </c>
      <c r="I39" s="15">
        <f>B4*I34/H10</f>
        <v>2.5689365421283945</v>
      </c>
      <c r="L39" s="10" t="s">
        <v>70</v>
      </c>
    </row>
    <row r="40" spans="1:15" ht="17.149999999999999" x14ac:dyDescent="0.55000000000000004">
      <c r="A40">
        <v>35.75</v>
      </c>
      <c r="B40" s="4">
        <f t="shared" si="1"/>
        <v>3.2622957284652796</v>
      </c>
      <c r="C40" s="4">
        <f t="shared" si="2"/>
        <v>7.8929548934612601</v>
      </c>
      <c r="D40" s="4">
        <f t="shared" si="0"/>
        <v>197.50473573598458</v>
      </c>
      <c r="E40" s="4">
        <f t="shared" si="3"/>
        <v>172.95938973211699</v>
      </c>
      <c r="H40" t="s">
        <v>57</v>
      </c>
      <c r="I40" s="8">
        <f>I39/(1 + B2)</f>
        <v>0.51378730842567888</v>
      </c>
      <c r="M40" s="20"/>
    </row>
    <row r="41" spans="1:15" ht="17.149999999999999" x14ac:dyDescent="0.55000000000000004">
      <c r="A41">
        <v>36</v>
      </c>
      <c r="B41" s="4">
        <f t="shared" si="1"/>
        <v>3.2582633774137344</v>
      </c>
      <c r="C41" s="4">
        <f t="shared" si="2"/>
        <v>7.8534633996912433</v>
      </c>
      <c r="D41" s="4">
        <f t="shared" si="0"/>
        <v>197.48432470600173</v>
      </c>
      <c r="E41" s="4">
        <f t="shared" si="3"/>
        <v>173.06178852328208</v>
      </c>
      <c r="H41" t="s">
        <v>58</v>
      </c>
      <c r="I41" s="7">
        <f>I39-I40</f>
        <v>2.0551492337027155</v>
      </c>
    </row>
    <row r="42" spans="1:15" x14ac:dyDescent="0.4">
      <c r="A42">
        <v>36.25</v>
      </c>
      <c r="B42" s="4">
        <f t="shared" si="1"/>
        <v>3.2542597077199487</v>
      </c>
      <c r="C42" s="4">
        <f t="shared" si="2"/>
        <v>7.8144507347940566</v>
      </c>
      <c r="D42" s="4">
        <f t="shared" si="0"/>
        <v>197.46366189888406</v>
      </c>
      <c r="E42" s="4">
        <f t="shared" si="3"/>
        <v>173.1624464853009</v>
      </c>
    </row>
    <row r="43" spans="1:15" x14ac:dyDescent="0.4">
      <c r="A43">
        <v>36.5</v>
      </c>
      <c r="B43" s="4">
        <f t="shared" si="1"/>
        <v>3.2502843146217644</v>
      </c>
      <c r="C43" s="4">
        <f t="shared" si="2"/>
        <v>7.77590783835615</v>
      </c>
      <c r="D43" s="4">
        <f t="shared" si="0"/>
        <v>197.44275465540528</v>
      </c>
      <c r="E43" s="4">
        <f t="shared" si="3"/>
        <v>173.26139913483172</v>
      </c>
    </row>
    <row r="44" spans="1:15" x14ac:dyDescent="0.4">
      <c r="A44">
        <v>36.75</v>
      </c>
      <c r="B44" s="4">
        <f t="shared" si="1"/>
        <v>3.2463368018096523</v>
      </c>
      <c r="C44" s="4">
        <f t="shared" si="2"/>
        <v>7.737825882093853</v>
      </c>
      <c r="D44" s="4">
        <f t="shared" si="0"/>
        <v>197.42161009737632</v>
      </c>
      <c r="E44" s="4">
        <f t="shared" si="3"/>
        <v>173.35868104769727</v>
      </c>
    </row>
    <row r="45" spans="1:15" x14ac:dyDescent="0.4">
      <c r="A45">
        <v>37</v>
      </c>
      <c r="B45" s="4">
        <f t="shared" si="1"/>
        <v>3.2424167811938904</v>
      </c>
      <c r="C45" s="4">
        <f t="shared" si="2"/>
        <v>7.7001962623736748</v>
      </c>
      <c r="D45" s="4">
        <f t="shared" si="0"/>
        <v>197.40023513527942</v>
      </c>
      <c r="E45" s="4">
        <f t="shared" si="3"/>
        <v>173.45432588977926</v>
      </c>
    </row>
    <row r="46" spans="1:15" x14ac:dyDescent="0.4">
      <c r="A46">
        <v>37.25</v>
      </c>
      <c r="B46" s="4">
        <f t="shared" si="1"/>
        <v>3.2385238726796817</v>
      </c>
      <c r="C46" s="4">
        <f t="shared" si="2"/>
        <v>7.6630105930224417</v>
      </c>
      <c r="D46" s="4">
        <f t="shared" si="0"/>
        <v>197.3786364755918</v>
      </c>
      <c r="E46" s="4">
        <f t="shared" si="3"/>
        <v>173.54836644670084</v>
      </c>
    </row>
    <row r="47" spans="1:15" x14ac:dyDescent="0.4">
      <c r="A47">
        <v>37.5</v>
      </c>
      <c r="B47" s="4">
        <f t="shared" si="1"/>
        <v>3.2346577039498907</v>
      </c>
      <c r="C47" s="4">
        <f t="shared" si="2"/>
        <v>7.6262606984139625</v>
      </c>
      <c r="D47" s="4">
        <f t="shared" si="0"/>
        <v>197.35682062781359</v>
      </c>
      <c r="E47" s="4">
        <f t="shared" si="3"/>
        <v>173.64083465235336</v>
      </c>
    </row>
    <row r="48" spans="1:15" x14ac:dyDescent="0.4">
      <c r="A48">
        <v>37.75</v>
      </c>
      <c r="B48" s="4">
        <f t="shared" si="1"/>
        <v>3.2308179102550896</v>
      </c>
      <c r="C48" s="4">
        <f t="shared" si="2"/>
        <v>7.5899386068198531</v>
      </c>
      <c r="D48" s="4">
        <f t="shared" si="0"/>
        <v>197.33479391121324</v>
      </c>
      <c r="E48" s="4">
        <f t="shared" si="3"/>
        <v>173.73176161631949</v>
      </c>
    </row>
    <row r="49" spans="1:5" x14ac:dyDescent="0.4">
      <c r="A49">
        <v>38</v>
      </c>
      <c r="B49" s="4">
        <f t="shared" si="1"/>
        <v>3.2270041342106328</v>
      </c>
      <c r="C49" s="4">
        <f t="shared" si="2"/>
        <v>7.5540365440129937</v>
      </c>
      <c r="D49" s="4">
        <f t="shared" si="0"/>
        <v>197.31256246130425</v>
      </c>
      <c r="E49" s="4">
        <f t="shared" si="3"/>
        <v>173.82117765024157</v>
      </c>
    </row>
    <row r="50" spans="1:5" x14ac:dyDescent="0.4">
      <c r="A50">
        <v>38.25</v>
      </c>
      <c r="B50" s="4">
        <f t="shared" si="1"/>
        <v>3.2232160256004554</v>
      </c>
      <c r="C50" s="4">
        <f t="shared" si="2"/>
        <v>7.5185469271119896</v>
      </c>
      <c r="D50" s="4">
        <f t="shared" si="0"/>
        <v>197.29013223606492</v>
      </c>
      <c r="E50" s="4">
        <f t="shared" si="3"/>
        <v>173.90911229318377</v>
      </c>
    </row>
    <row r="51" spans="1:5" x14ac:dyDescent="0.4">
      <c r="A51">
        <v>38.5</v>
      </c>
      <c r="B51" s="4">
        <f t="shared" si="1"/>
        <v>3.2194532411873618</v>
      </c>
      <c r="C51" s="4">
        <f t="shared" si="2"/>
        <v>7.4834623586564941</v>
      </c>
      <c r="D51" s="4">
        <f t="shared" si="0"/>
        <v>197.26750902191264</v>
      </c>
      <c r="E51" s="4">
        <f t="shared" si="3"/>
        <v>173.99559433603099</v>
      </c>
    </row>
    <row r="52" spans="1:5" x14ac:dyDescent="0.4">
      <c r="A52">
        <v>38.75</v>
      </c>
      <c r="B52" s="4">
        <f t="shared" si="1"/>
        <v>3.2157154445295215</v>
      </c>
      <c r="C52" s="4">
        <f t="shared" si="2"/>
        <v>7.4487756209030245</v>
      </c>
      <c r="D52" s="4">
        <f t="shared" si="0"/>
        <v>197.24469843944473</v>
      </c>
      <c r="E52" s="4">
        <f t="shared" si="3"/>
        <v>174.08065184496817</v>
      </c>
    </row>
    <row r="53" spans="1:5" x14ac:dyDescent="0.4">
      <c r="A53">
        <v>39</v>
      </c>
      <c r="B53" s="4">
        <f t="shared" si="1"/>
        <v>3.2120023058029497</v>
      </c>
      <c r="C53" s="4">
        <f t="shared" si="2"/>
        <v>7.4144796703317288</v>
      </c>
      <c r="D53" s="4">
        <f t="shared" si="0"/>
        <v>197.22170594895508</v>
      </c>
      <c r="E53" s="4">
        <f t="shared" si="3"/>
        <v>174.16431218407996</v>
      </c>
    </row>
    <row r="54" spans="1:5" x14ac:dyDescent="0.4">
      <c r="A54">
        <v>39.25</v>
      </c>
      <c r="B54" s="4">
        <f t="shared" si="1"/>
        <v>3.2083135016297248</v>
      </c>
      <c r="C54" s="4">
        <f t="shared" si="2"/>
        <v>7.3805676323551515</v>
      </c>
      <c r="D54" s="4">
        <f t="shared" si="0"/>
        <v>197.19853685573793</v>
      </c>
      <c r="E54" s="4">
        <f t="shared" si="3"/>
        <v>174.2466020371088</v>
      </c>
    </row>
    <row r="55" spans="1:5" x14ac:dyDescent="0.4">
      <c r="A55">
        <v>39.5</v>
      </c>
      <c r="B55" s="4">
        <f t="shared" si="1"/>
        <v>3.2046487149117366</v>
      </c>
      <c r="C55" s="4">
        <f t="shared" si="2"/>
        <v>7.3470327962201427</v>
      </c>
      <c r="D55" s="4">
        <f t="shared" si="0"/>
        <v>197.17519631518675</v>
      </c>
      <c r="E55" s="4">
        <f t="shared" si="3"/>
        <v>174.32754742840785</v>
      </c>
    </row>
    <row r="56" spans="1:5" x14ac:dyDescent="0.4">
      <c r="A56">
        <v>39.75</v>
      </c>
      <c r="B56" s="4">
        <f t="shared" si="1"/>
        <v>3.2010076346697449</v>
      </c>
      <c r="C56" s="4">
        <f t="shared" si="2"/>
        <v>7.3138686100948691</v>
      </c>
      <c r="D56" s="4">
        <f t="shared" si="0"/>
        <v>197.15168933769897</v>
      </c>
      <c r="E56" s="4">
        <f t="shared" si="3"/>
        <v>174.40717374312425</v>
      </c>
    </row>
    <row r="57" spans="1:5" x14ac:dyDescent="0.4">
      <c r="A57">
        <v>40</v>
      </c>
      <c r="B57" s="4">
        <f t="shared" si="1"/>
        <v>3.1973899558875449</v>
      </c>
      <c r="C57" s="4">
        <f t="shared" si="2"/>
        <v>7.2810686763329233</v>
      </c>
      <c r="D57" s="4">
        <f t="shared" si="0"/>
        <v>197.1280207933934</v>
      </c>
      <c r="E57" s="4">
        <f t="shared" si="3"/>
        <v>174.48550574664361</v>
      </c>
    </row>
    <row r="58" spans="1:5" x14ac:dyDescent="0.4">
      <c r="A58">
        <v>40.25</v>
      </c>
      <c r="B58" s="4">
        <f t="shared" si="1"/>
        <v>3.1937953793610556</v>
      </c>
      <c r="C58" s="4">
        <f t="shared" si="2"/>
        <v>7.2486267469072629</v>
      </c>
      <c r="D58" s="4">
        <f t="shared" si="0"/>
        <v>197.10419541664962</v>
      </c>
      <c r="E58" s="4">
        <f t="shared" si="3"/>
        <v>174.56256760332946</v>
      </c>
    </row>
    <row r="59" spans="1:5" x14ac:dyDescent="0.4">
      <c r="A59">
        <v>40.5</v>
      </c>
      <c r="B59" s="4">
        <f t="shared" si="1"/>
        <v>3.1902236115521356</v>
      </c>
      <c r="C59" s="4">
        <f t="shared" si="2"/>
        <v>7.2165367190066458</v>
      </c>
      <c r="D59" s="4">
        <f t="shared" si="0"/>
        <v>197.08021781047671</v>
      </c>
      <c r="E59" s="4">
        <f t="shared" si="3"/>
        <v>174.6383828945855</v>
      </c>
    </row>
    <row r="60" spans="1:5" x14ac:dyDescent="0.4">
      <c r="A60">
        <v>40.75</v>
      </c>
      <c r="B60" s="4">
        <f t="shared" si="1"/>
        <v>3.1866743644469562</v>
      </c>
      <c r="C60" s="4">
        <f t="shared" si="2"/>
        <v>7.1847926307880892</v>
      </c>
      <c r="D60" s="4">
        <f t="shared" si="0"/>
        <v>197.05609245071895</v>
      </c>
      <c r="E60" s="4">
        <f t="shared" si="3"/>
        <v>174.71297463627059</v>
      </c>
    </row>
    <row r="61" spans="1:5" x14ac:dyDescent="0.4">
      <c r="A61">
        <v>41</v>
      </c>
      <c r="B61" s="4">
        <f t="shared" si="1"/>
        <v>3.1831473554187637</v>
      </c>
      <c r="C61" s="4">
        <f t="shared" si="2"/>
        <v>7.1533886572786827</v>
      </c>
      <c r="D61" s="4">
        <f t="shared" si="0"/>
        <v>197.03182369010432</v>
      </c>
      <c r="E61" s="4">
        <f t="shared" si="3"/>
        <v>174.78636529549166</v>
      </c>
    </row>
    <row r="62" spans="1:5" x14ac:dyDescent="0.4">
      <c r="A62">
        <v>41.25</v>
      </c>
      <c r="B62" s="4">
        <f t="shared" si="1"/>
        <v>3.1796423070948601</v>
      </c>
      <c r="C62" s="4">
        <f t="shared" si="2"/>
        <v>7.1223191064206883</v>
      </c>
      <c r="D62" s="4">
        <f t="shared" si="0"/>
        <v>197.0074157621444</v>
      </c>
      <c r="E62" s="4">
        <f t="shared" si="3"/>
        <v>174.85857680680232</v>
      </c>
    </row>
    <row r="63" spans="1:5" x14ac:dyDescent="0.4">
      <c r="A63">
        <v>41.5</v>
      </c>
      <c r="B63" s="4">
        <f t="shared" si="1"/>
        <v>3.1761589472276639</v>
      </c>
      <c r="C63" s="4">
        <f t="shared" si="2"/>
        <v>7.0915784152542063</v>
      </c>
      <c r="D63" s="4">
        <f t="shared" si="0"/>
        <v>196.98287278489042</v>
      </c>
      <c r="E63" s="4">
        <f t="shared" si="3"/>
        <v>174.92963058783013</v>
      </c>
    </row>
    <row r="64" spans="1:5" x14ac:dyDescent="0.4">
      <c r="A64">
        <v>41.75</v>
      </c>
      <c r="B64" s="4">
        <f t="shared" si="1"/>
        <v>3.172697008569684</v>
      </c>
      <c r="C64" s="4">
        <f t="shared" si="2"/>
        <v>7.0611611462316244</v>
      </c>
      <c r="D64" s="4">
        <f t="shared" si="0"/>
        <v>196.95819876455195</v>
      </c>
      <c r="E64" s="4">
        <f t="shared" si="3"/>
        <v>174.9995475543565</v>
      </c>
    </row>
    <row r="65" spans="1:5" x14ac:dyDescent="0.4">
      <c r="A65">
        <v>42</v>
      </c>
      <c r="B65" s="4">
        <f t="shared" si="1"/>
        <v>3.1692562287522761</v>
      </c>
      <c r="C65" s="4">
        <f t="shared" si="2"/>
        <v>7.0310619836587005</v>
      </c>
      <c r="D65" s="4">
        <f t="shared" si="0"/>
        <v>196.93339759898447</v>
      </c>
      <c r="E65" s="4">
        <f t="shared" si="3"/>
        <v>175.06834813487157</v>
      </c>
    </row>
    <row r="66" spans="1:5" x14ac:dyDescent="0.4">
      <c r="A66">
        <v>42.25</v>
      </c>
      <c r="B66" s="4">
        <f t="shared" si="1"/>
        <v>3.1658363501680453</v>
      </c>
      <c r="C66" s="4">
        <f t="shared" si="2"/>
        <v>7.0012757302571167</v>
      </c>
      <c r="D66" s="4">
        <f t="shared" si="0"/>
        <v>196.90847308105029</v>
      </c>
      <c r="E66" s="4">
        <f t="shared" si="3"/>
        <v>175.13605228462512</v>
      </c>
    </row>
    <row r="67" spans="1:5" x14ac:dyDescent="0.4">
      <c r="A67">
        <v>42.5</v>
      </c>
      <c r="B67" s="4">
        <f t="shared" si="1"/>
        <v>3.1624371198567598</v>
      </c>
      <c r="C67" s="4">
        <f t="shared" si="2"/>
        <v>6.9717973038437009</v>
      </c>
      <c r="D67" s="4">
        <f t="shared" si="0"/>
        <v>196.88342890185942</v>
      </c>
      <c r="E67" s="4">
        <f t="shared" si="3"/>
        <v>175.20267949919409</v>
      </c>
    </row>
    <row r="68" spans="1:5" x14ac:dyDescent="0.4">
      <c r="A68">
        <v>42.75</v>
      </c>
      <c r="B68" s="4">
        <f t="shared" si="1"/>
        <v>3.1590582893946499</v>
      </c>
      <c r="C68" s="4">
        <f t="shared" si="2"/>
        <v>6.9426217341216976</v>
      </c>
      <c r="D68" s="4">
        <f t="shared" si="0"/>
        <v>196.85826865389362</v>
      </c>
      <c r="E68" s="4">
        <f t="shared" si="3"/>
        <v>175.26824882758501</v>
      </c>
    </row>
    <row r="69" spans="1:5" x14ac:dyDescent="0.4">
      <c r="A69">
        <v>43</v>
      </c>
      <c r="B69" s="4">
        <f t="shared" si="1"/>
        <v>3.1556996147869838</v>
      </c>
      <c r="C69" s="4">
        <f t="shared" si="2"/>
        <v>6.9137441595796663</v>
      </c>
      <c r="D69" s="4">
        <f t="shared" si="0"/>
        <v>196.83299583402027</v>
      </c>
      <c r="E69" s="4">
        <f t="shared" si="3"/>
        <v>175.33277888489189</v>
      </c>
    </row>
    <row r="70" spans="1:5" x14ac:dyDescent="0.4">
      <c r="A70">
        <v>43.25</v>
      </c>
      <c r="B70" s="4">
        <f t="shared" si="1"/>
        <v>3.1523608563637904</v>
      </c>
      <c r="C70" s="4">
        <f t="shared" si="2"/>
        <v>6.8851598244938117</v>
      </c>
      <c r="D70" s="4">
        <f t="shared" si="0"/>
        <v>196.80761384639891</v>
      </c>
      <c r="E70" s="4">
        <f t="shared" si="3"/>
        <v>175.39628786452465</v>
      </c>
    </row>
    <row r="71" spans="1:5" x14ac:dyDescent="0.4">
      <c r="A71">
        <v>43.5</v>
      </c>
      <c r="B71" s="4">
        <f t="shared" si="1"/>
        <v>3.1490417786786229</v>
      </c>
      <c r="C71" s="4">
        <f t="shared" si="2"/>
        <v>6.8568640760296438</v>
      </c>
      <c r="D71" s="4">
        <f t="shared" si="0"/>
        <v>196.78212600528605</v>
      </c>
      <c r="E71" s="4">
        <f t="shared" si="3"/>
        <v>175.45879355002708</v>
      </c>
    </row>
    <row r="72" spans="1:5" x14ac:dyDescent="0.4">
      <c r="A72">
        <v>43.75</v>
      </c>
      <c r="B72" s="4">
        <f t="shared" si="1"/>
        <v>3.1457421504102734</v>
      </c>
      <c r="C72" s="4">
        <f t="shared" si="2"/>
        <v>6.8288523614393064</v>
      </c>
      <c r="D72" s="4">
        <f t="shared" si="0"/>
        <v>196.75653553774117</v>
      </c>
      <c r="E72" s="4">
        <f t="shared" si="3"/>
        <v>175.52031332649884</v>
      </c>
    </row>
    <row r="73" spans="1:5" x14ac:dyDescent="0.4">
      <c r="A73">
        <v>44</v>
      </c>
      <c r="B73" s="4">
        <f t="shared" si="1"/>
        <v>3.1424617442673037</v>
      </c>
      <c r="C73" s="4">
        <f t="shared" si="2"/>
        <v>6.8011202253506369</v>
      </c>
      <c r="D73" s="4">
        <f t="shared" si="0"/>
        <v>196.73084558623935</v>
      </c>
      <c r="E73" s="4">
        <f t="shared" si="3"/>
        <v>175.58086419163803</v>
      </c>
    </row>
    <row r="74" spans="1:5" x14ac:dyDescent="0.4">
      <c r="A74">
        <v>44.25</v>
      </c>
      <c r="B74" s="4">
        <f t="shared" si="1"/>
        <v>3.1392003368953318</v>
      </c>
      <c r="C74" s="4">
        <f t="shared" si="2"/>
        <v>6.773663307144691</v>
      </c>
      <c r="D74" s="4">
        <f t="shared" si="0"/>
        <v>196.70505921119261</v>
      </c>
      <c r="E74" s="4">
        <f t="shared" si="3"/>
        <v>175.64046276641824</v>
      </c>
    </row>
    <row r="75" spans="1:5" x14ac:dyDescent="0.4">
      <c r="A75">
        <v>44.5</v>
      </c>
      <c r="B75" s="4">
        <f t="shared" si="1"/>
        <v>3.135957708786957</v>
      </c>
      <c r="C75" s="4">
        <f t="shared" si="2"/>
        <v>6.7464773384182282</v>
      </c>
      <c r="D75" s="4">
        <f t="shared" si="0"/>
        <v>196.67917939338474</v>
      </c>
      <c r="E75" s="4">
        <f t="shared" si="3"/>
        <v>175.69912530541447</v>
      </c>
    </row>
    <row r="76" spans="1:5" x14ac:dyDescent="0.4">
      <c r="A76">
        <v>44.75</v>
      </c>
      <c r="B76" s="4">
        <f t="shared" si="1"/>
        <v>3.1327336441942366</v>
      </c>
      <c r="C76" s="4">
        <f t="shared" si="2"/>
        <v>6.7195581405279494</v>
      </c>
      <c r="D76" s="4">
        <f t="shared" si="0"/>
        <v>196.65320903632269</v>
      </c>
      <c r="E76" s="4">
        <f t="shared" si="3"/>
        <v>175.75686770679104</v>
      </c>
    </row>
    <row r="77" spans="1:5" x14ac:dyDescent="0.4">
      <c r="A77">
        <v>45</v>
      </c>
      <c r="B77" s="4">
        <f t="shared" si="1"/>
        <v>3.1295279310436372</v>
      </c>
      <c r="C77" s="4">
        <f t="shared" si="2"/>
        <v>6.6929016222134772</v>
      </c>
      <c r="D77" s="4">
        <f t="shared" si="0"/>
        <v>196.62715096850772</v>
      </c>
      <c r="E77" s="4">
        <f t="shared" si="3"/>
        <v>175.81370552196526</v>
      </c>
    </row>
    <row r="78" spans="1:5" x14ac:dyDescent="0.4">
      <c r="A78">
        <v>45.25</v>
      </c>
      <c r="B78" s="4">
        <f t="shared" si="1"/>
        <v>3.1263403608533675</v>
      </c>
      <c r="C78" s="4">
        <f t="shared" si="2"/>
        <v>6.6665037772961036</v>
      </c>
      <c r="D78" s="4">
        <f t="shared" si="0"/>
        <v>196.60100794562925</v>
      </c>
      <c r="E78" s="4">
        <f t="shared" si="3"/>
        <v>175.86965396495722</v>
      </c>
    </row>
    <row r="79" spans="1:5" x14ac:dyDescent="0.4">
      <c r="A79">
        <v>45.5</v>
      </c>
      <c r="B79" s="4">
        <f t="shared" si="1"/>
        <v>3.1231707286530237</v>
      </c>
      <c r="C79" s="4">
        <f t="shared" si="2"/>
        <v>6.6403606824504493</v>
      </c>
      <c r="D79" s="4">
        <f t="shared" ref="D79:D142" si="8">$B$6*$B$12/9.81*($B$9*SQRT(2/($B$9-1)*(2/($B$9+1))^(($B$9+1)/($B$9-1))*(1 - (A79/$B$3)^(($B$9-1)/$B$9))) + C79/$B$3*(A79 - $E$5))</f>
        <v>196.57478265268492</v>
      </c>
      <c r="E79" s="4">
        <f t="shared" si="3"/>
        <v>175.92472792143977</v>
      </c>
    </row>
    <row r="80" spans="1:5" x14ac:dyDescent="0.4">
      <c r="A80">
        <v>45.75</v>
      </c>
      <c r="B80" s="4">
        <f t="shared" ref="B80:B143" si="9">SQRT(2/($B$9-1)*((A80/$B$3)^((1-$B$9)/$B$9) - 1))</f>
        <v>3.1200188329054539</v>
      </c>
      <c r="C80" s="4">
        <f t="shared" ref="C80:C143" si="10">1/B80*(2/($B$9+1)*(1 + ($B$9-1)/2*B80^2))^(($B$9+1)/(2*$B$9-2))</f>
        <v>6.6144684950463928</v>
      </c>
      <c r="D80" s="4">
        <f t="shared" si="8"/>
        <v>196.54847770602959</v>
      </c>
      <c r="E80" s="4">
        <f t="shared" ref="E80:E143" si="11">$B$6*$B$12/9.81*($B$9*SQRT(2/($B$9-1)*(2/($B$9+1))^(($B$9+1)/($B$9-1))*(1 - (A80/$B$3)^(($B$9-1)/$B$9))) + C80/$B$3*(A80 - $E$4))</f>
        <v>175.97894195749848</v>
      </c>
    </row>
    <row r="81" spans="1:5" x14ac:dyDescent="0.4">
      <c r="A81">
        <v>46</v>
      </c>
      <c r="B81" s="4">
        <f t="shared" si="9"/>
        <v>3.1168844754307852</v>
      </c>
      <c r="C81" s="4">
        <f t="shared" si="10"/>
        <v>6.5888234510585928</v>
      </c>
      <c r="D81" s="4">
        <f t="shared" si="8"/>
        <v>196.52209565535503</v>
      </c>
      <c r="E81" s="4">
        <f t="shared" si="11"/>
        <v>176.03231032811246</v>
      </c>
    </row>
    <row r="82" spans="1:5" x14ac:dyDescent="0.4">
      <c r="A82">
        <v>46.25</v>
      </c>
      <c r="B82" s="4">
        <f t="shared" si="9"/>
        <v>3.1137674613325403</v>
      </c>
      <c r="C82" s="4">
        <f t="shared" si="10"/>
        <v>6.5634218630413406</v>
      </c>
      <c r="D82" s="4">
        <f t="shared" si="8"/>
        <v>196.49563898560487</v>
      </c>
      <c r="E82" s="4">
        <f t="shared" si="11"/>
        <v>176.08484698536682</v>
      </c>
    </row>
    <row r="83" spans="1:5" x14ac:dyDescent="0.4">
      <c r="A83">
        <v>46.5</v>
      </c>
      <c r="B83" s="4">
        <f t="shared" si="9"/>
        <v>3.1106675989257595</v>
      </c>
      <c r="C83" s="4">
        <f t="shared" si="10"/>
        <v>6.5382601181660691</v>
      </c>
      <c r="D83" s="4">
        <f t="shared" si="8"/>
        <v>196.46911011882523</v>
      </c>
      <c r="E83" s="4">
        <f t="shared" si="11"/>
        <v>176.13656558640639</v>
      </c>
    </row>
    <row r="84" spans="1:5" x14ac:dyDescent="0.4">
      <c r="A84">
        <v>46.75</v>
      </c>
      <c r="B84" s="4">
        <f t="shared" si="9"/>
        <v>3.10758469966708</v>
      </c>
      <c r="C84" s="4">
        <f t="shared" si="10"/>
        <v>6.5133346763194435</v>
      </c>
      <c r="D84" s="4">
        <f t="shared" si="8"/>
        <v>196.44251141595504</v>
      </c>
      <c r="E84" s="4">
        <f t="shared" si="11"/>
        <v>176.18747950114047</v>
      </c>
    </row>
    <row r="85" spans="1:5" x14ac:dyDescent="0.4">
      <c r="A85">
        <v>47</v>
      </c>
      <c r="B85" s="4">
        <f t="shared" si="9"/>
        <v>3.1045185780867044</v>
      </c>
      <c r="C85" s="4">
        <f t="shared" si="10"/>
        <v>6.4886420682598844</v>
      </c>
      <c r="D85" s="4">
        <f t="shared" si="8"/>
        <v>196.41584517855725</v>
      </c>
      <c r="E85" s="4">
        <f t="shared" si="11"/>
        <v>176.23760181970695</v>
      </c>
    </row>
    <row r="86" spans="1:5" x14ac:dyDescent="0.4">
      <c r="A86">
        <v>47.25</v>
      </c>
      <c r="B86" s="4">
        <f t="shared" si="9"/>
        <v>3.1014690517221961</v>
      </c>
      <c r="C86" s="4">
        <f t="shared" si="10"/>
        <v>6.4641788938302511</v>
      </c>
      <c r="D86" s="4">
        <f t="shared" si="8"/>
        <v>196.38911365049387</v>
      </c>
      <c r="E86" s="4">
        <f t="shared" si="11"/>
        <v>176.2869453597053</v>
      </c>
    </row>
    <row r="87" spans="1:5" x14ac:dyDescent="0.4">
      <c r="A87">
        <v>47.5</v>
      </c>
      <c r="B87" s="4">
        <f t="shared" si="9"/>
        <v>3.0984359410540412</v>
      </c>
      <c r="C87" s="4">
        <f t="shared" si="10"/>
        <v>6.4399418202248562</v>
      </c>
      <c r="D87" s="4">
        <f t="shared" si="8"/>
        <v>196.36231901954616</v>
      </c>
      <c r="E87" s="4">
        <f t="shared" si="11"/>
        <v>176.33552267320627</v>
      </c>
    </row>
    <row r="88" spans="1:5" x14ac:dyDescent="0.4">
      <c r="A88">
        <v>47.75</v>
      </c>
      <c r="B88" s="4">
        <f t="shared" si="9"/>
        <v>3.09541906944292</v>
      </c>
      <c r="C88" s="4">
        <f t="shared" si="10"/>
        <v>6.4159275803087628</v>
      </c>
      <c r="D88" s="4">
        <f t="shared" si="8"/>
        <v>196.33546341898332</v>
      </c>
      <c r="E88" s="4">
        <f t="shared" si="11"/>
        <v>176.38334605354683</v>
      </c>
    </row>
    <row r="89" spans="1:5" x14ac:dyDescent="0.4">
      <c r="A89">
        <v>48</v>
      </c>
      <c r="B89" s="4">
        <f t="shared" si="9"/>
        <v>3.0924182630686485</v>
      </c>
      <c r="C89" s="4">
        <f t="shared" si="10"/>
        <v>6.3921329709876478</v>
      </c>
      <c r="D89" s="4">
        <f t="shared" si="8"/>
        <v>196.30854892907968</v>
      </c>
      <c r="E89" s="4">
        <f t="shared" si="11"/>
        <v>176.43042754191711</v>
      </c>
    </row>
    <row r="90" spans="1:5" x14ac:dyDescent="0.4">
      <c r="A90">
        <v>48.25</v>
      </c>
      <c r="B90" s="4">
        <f t="shared" si="9"/>
        <v>3.0894333508707139</v>
      </c>
      <c r="C90" s="4">
        <f t="shared" si="10"/>
        <v>6.3685548516263042</v>
      </c>
      <c r="D90" s="4">
        <f t="shared" si="8"/>
        <v>196.28157757858423</v>
      </c>
      <c r="E90" s="4">
        <f t="shared" si="11"/>
        <v>176.47677893374774</v>
      </c>
    </row>
    <row r="91" spans="1:5" x14ac:dyDescent="0.4">
      <c r="A91">
        <v>48.5</v>
      </c>
      <c r="B91" s="4">
        <f t="shared" si="9"/>
        <v>3.0864641644903679</v>
      </c>
      <c r="C91" s="4">
        <f t="shared" si="10"/>
        <v>6.3451901425142303</v>
      </c>
      <c r="D91" s="4">
        <f t="shared" si="8"/>
        <v>196.25455134614285</v>
      </c>
      <c r="E91" s="4">
        <f t="shared" si="11"/>
        <v>176.52241178490388</v>
      </c>
    </row>
    <row r="92" spans="1:5" x14ac:dyDescent="0.4">
      <c r="A92">
        <v>48.75</v>
      </c>
      <c r="B92" s="4">
        <f t="shared" si="9"/>
        <v>3.0835105382142349</v>
      </c>
      <c r="C92" s="4">
        <f t="shared" si="10"/>
        <v>6.3220358233765506</v>
      </c>
      <c r="D92" s="4">
        <f t="shared" si="8"/>
        <v>196.22747216167548</v>
      </c>
      <c r="E92" s="4">
        <f t="shared" si="11"/>
        <v>176.5673374176931</v>
      </c>
    </row>
    <row r="93" spans="1:5" x14ac:dyDescent="0.4">
      <c r="A93">
        <v>49</v>
      </c>
      <c r="B93" s="4">
        <f t="shared" si="9"/>
        <v>3.0805723089193733</v>
      </c>
      <c r="C93" s="4">
        <f t="shared" si="10"/>
        <v>6.2990889319288526</v>
      </c>
      <c r="D93" s="4">
        <f t="shared" si="8"/>
        <v>196.20034190771003</v>
      </c>
      <c r="E93" s="4">
        <f t="shared" si="11"/>
        <v>176.61156692669346</v>
      </c>
    </row>
    <row r="94" spans="1:5" x14ac:dyDescent="0.4">
      <c r="A94">
        <v>49.25</v>
      </c>
      <c r="B94" s="4">
        <f t="shared" si="9"/>
        <v>3.0776493160197487</v>
      </c>
      <c r="C94" s="4">
        <f t="shared" si="10"/>
        <v>6.2763465624741643</v>
      </c>
      <c r="D94" s="4">
        <f t="shared" si="8"/>
        <v>196.17316242067417</v>
      </c>
      <c r="E94" s="4">
        <f t="shared" si="11"/>
        <v>176.65511118440821</v>
      </c>
    </row>
    <row r="95" spans="1:5" x14ac:dyDescent="0.4">
      <c r="A95">
        <v>49.5</v>
      </c>
      <c r="B95" s="4">
        <f t="shared" si="9"/>
        <v>3.0747414014140926</v>
      </c>
      <c r="C95" s="4">
        <f t="shared" si="10"/>
        <v>6.2538058645410155</v>
      </c>
      <c r="D95" s="4">
        <f t="shared" si="8"/>
        <v>196.1459354921468</v>
      </c>
      <c r="E95" s="4">
        <f t="shared" si="11"/>
        <v>176.69798084675278</v>
      </c>
    </row>
    <row r="96" spans="1:5" x14ac:dyDescent="0.4">
      <c r="A96">
        <v>49.75</v>
      </c>
      <c r="B96" s="4">
        <f t="shared" si="9"/>
        <v>3.0718484094350802</v>
      </c>
      <c r="C96" s="4">
        <f t="shared" si="10"/>
        <v>6.2314640415608284</v>
      </c>
      <c r="D96" s="4">
        <f t="shared" si="8"/>
        <v>196.11866287007066</v>
      </c>
      <c r="E96" s="4">
        <f t="shared" si="11"/>
        <v>176.74018635838041</v>
      </c>
    </row>
    <row r="97" spans="1:5" x14ac:dyDescent="0.4">
      <c r="A97">
        <v>50</v>
      </c>
      <c r="B97" s="4">
        <f t="shared" si="9"/>
        <v>3.0689701867997967</v>
      </c>
      <c r="C97" s="4">
        <f t="shared" si="10"/>
        <v>6.2093183495834685</v>
      </c>
      <c r="D97" s="4">
        <f t="shared" si="8"/>
        <v>196.09134625992704</v>
      </c>
      <c r="E97" s="4">
        <f t="shared" si="11"/>
        <v>176.78173795785113</v>
      </c>
    </row>
    <row r="98" spans="1:5" x14ac:dyDescent="0.4">
      <c r="A98">
        <v>50.25</v>
      </c>
      <c r="B98" s="4">
        <f t="shared" si="9"/>
        <v>3.0661065825614613</v>
      </c>
      <c r="C98" s="4">
        <f t="shared" si="10"/>
        <v>6.1873660960297023</v>
      </c>
      <c r="D98" s="4">
        <f t="shared" si="8"/>
        <v>196.06398732587482</v>
      </c>
      <c r="E98" s="4">
        <f t="shared" si="11"/>
        <v>176.82264568265035</v>
      </c>
    </row>
    <row r="99" spans="1:5" x14ac:dyDescent="0.4">
      <c r="A99">
        <v>50.5</v>
      </c>
      <c r="B99" s="4">
        <f t="shared" si="9"/>
        <v>3.0632574480623611</v>
      </c>
      <c r="C99" s="4">
        <f t="shared" si="10"/>
        <v>6.1656046384792749</v>
      </c>
      <c r="D99" s="4">
        <f t="shared" si="8"/>
        <v>196.03658769185367</v>
      </c>
      <c r="E99" s="4">
        <f t="shared" si="11"/>
        <v>176.86291937406099</v>
      </c>
    </row>
    <row r="100" spans="1:5" x14ac:dyDescent="0.4">
      <c r="A100">
        <v>50.75</v>
      </c>
      <c r="B100" s="4">
        <f t="shared" si="9"/>
        <v>3.0604226368879588</v>
      </c>
      <c r="C100" s="4">
        <f t="shared" si="10"/>
        <v>6.1440313834933242</v>
      </c>
      <c r="D100" s="4">
        <f t="shared" si="8"/>
        <v>196.00914894265446</v>
      </c>
      <c r="E100" s="4">
        <f t="shared" si="11"/>
        <v>176.90256868189587</v>
      </c>
    </row>
    <row r="101" spans="1:5" x14ac:dyDescent="0.4">
      <c r="A101">
        <v>51</v>
      </c>
      <c r="B101" s="4">
        <f t="shared" si="9"/>
        <v>3.0576020048221477</v>
      </c>
      <c r="C101" s="4">
        <f t="shared" si="10"/>
        <v>6.1226437854702525</v>
      </c>
      <c r="D101" s="4">
        <f t="shared" si="8"/>
        <v>195.98167262495645</v>
      </c>
      <c r="E101" s="4">
        <f t="shared" si="11"/>
        <v>176.94160306909276</v>
      </c>
    </row>
    <row r="102" spans="1:5" x14ac:dyDescent="0.4">
      <c r="A102">
        <v>51.25</v>
      </c>
      <c r="B102" s="4">
        <f t="shared" si="9"/>
        <v>3.054795409803607</v>
      </c>
      <c r="C102" s="4">
        <f t="shared" si="10"/>
        <v>6.1014393455336116</v>
      </c>
      <c r="D102" s="4">
        <f t="shared" si="8"/>
        <v>195.95416024833307</v>
      </c>
      <c r="E102" s="4">
        <f t="shared" si="11"/>
        <v>176.98003181617889</v>
      </c>
    </row>
    <row r="103" spans="1:5" x14ac:dyDescent="0.4">
      <c r="A103">
        <v>51.5</v>
      </c>
      <c r="B103" s="4">
        <f t="shared" si="9"/>
        <v>3.0520027118832385</v>
      </c>
      <c r="C103" s="4">
        <f t="shared" si="10"/>
        <v>6.0804156104512543</v>
      </c>
      <c r="D103" s="4">
        <f t="shared" si="8"/>
        <v>195.92661328622776</v>
      </c>
      <c r="E103" s="4">
        <f t="shared" si="11"/>
        <v>177.01786402560762</v>
      </c>
    </row>
    <row r="104" spans="1:5" x14ac:dyDescent="0.4">
      <c r="A104">
        <v>51.75</v>
      </c>
      <c r="B104" s="4">
        <f t="shared" si="9"/>
        <v>3.0492237731826459</v>
      </c>
      <c r="C104" s="4">
        <f t="shared" si="10"/>
        <v>6.0595701715845625</v>
      </c>
      <c r="D104" s="4">
        <f t="shared" si="8"/>
        <v>195.89903317689993</v>
      </c>
      <c r="E104" s="4">
        <f t="shared" si="11"/>
        <v>177.05510862597237</v>
      </c>
    </row>
    <row r="105" spans="1:5" x14ac:dyDescent="0.4">
      <c r="A105">
        <v>52</v>
      </c>
      <c r="B105" s="4">
        <f t="shared" si="9"/>
        <v>3.0464584578536216</v>
      </c>
      <c r="C105" s="4">
        <f t="shared" si="10"/>
        <v>6.0389006638667651</v>
      </c>
      <c r="D105" s="4">
        <f t="shared" si="8"/>
        <v>195.87142132434312</v>
      </c>
      <c r="E105" s="4">
        <f t="shared" si="11"/>
        <v>177.09177437610191</v>
      </c>
    </row>
    <row r="106" spans="1:5" x14ac:dyDescent="0.4">
      <c r="A106">
        <v>52.25</v>
      </c>
      <c r="B106" s="4">
        <f t="shared" si="9"/>
        <v>3.0437066320386239</v>
      </c>
      <c r="C106" s="4">
        <f t="shared" si="10"/>
        <v>6.0184047648095209</v>
      </c>
      <c r="D106" s="4">
        <f t="shared" si="8"/>
        <v>195.84377909917558</v>
      </c>
      <c r="E106" s="4">
        <f t="shared" si="11"/>
        <v>177.12786986904007</v>
      </c>
    </row>
    <row r="107" spans="1:5" x14ac:dyDescent="0.4">
      <c r="A107">
        <v>52.5</v>
      </c>
      <c r="B107" s="4">
        <f t="shared" si="9"/>
        <v>3.0409681638322068</v>
      </c>
      <c r="C107" s="4">
        <f t="shared" si="10"/>
        <v>5.9980801935367563</v>
      </c>
      <c r="D107" s="4">
        <f t="shared" si="8"/>
        <v>195.81610783950416</v>
      </c>
      <c r="E107" s="4">
        <f t="shared" si="11"/>
        <v>177.1634035359144</v>
      </c>
    </row>
    <row r="108" spans="1:5" x14ac:dyDescent="0.4">
      <c r="A108">
        <v>52.75</v>
      </c>
      <c r="B108" s="4">
        <f t="shared" si="9"/>
        <v>3.0382429232433719</v>
      </c>
      <c r="C108" s="4">
        <f t="shared" si="10"/>
        <v>5.977924709844844</v>
      </c>
      <c r="D108" s="4">
        <f t="shared" si="8"/>
        <v>195.78840885176319</v>
      </c>
      <c r="E108" s="4">
        <f t="shared" si="11"/>
        <v>177.19838364969766</v>
      </c>
    </row>
    <row r="109" spans="1:5" x14ac:dyDescent="0.4">
      <c r="A109">
        <v>53</v>
      </c>
      <c r="B109" s="4">
        <f t="shared" si="9"/>
        <v>3.0355307821588329</v>
      </c>
      <c r="C109" s="4">
        <f t="shared" si="10"/>
        <v>5.9579361132885085</v>
      </c>
      <c r="D109" s="4">
        <f t="shared" si="8"/>
        <v>195.76068341152845</v>
      </c>
      <c r="E109" s="4">
        <f t="shared" si="11"/>
        <v>177.23281832886425</v>
      </c>
    </row>
    <row r="110" spans="1:5" x14ac:dyDescent="0.4">
      <c r="A110">
        <v>53.25</v>
      </c>
      <c r="B110" s="4">
        <f t="shared" si="9"/>
        <v>3.0328316143071437</v>
      </c>
      <c r="C110" s="4">
        <f t="shared" si="10"/>
        <v>5.9381122422912958</v>
      </c>
      <c r="D110" s="4">
        <f t="shared" si="8"/>
        <v>195.73293276430715</v>
      </c>
      <c r="E110" s="4">
        <f t="shared" si="11"/>
        <v>177.26671554094668</v>
      </c>
    </row>
    <row r="111" spans="1:5" x14ac:dyDescent="0.4">
      <c r="A111">
        <v>53.5</v>
      </c>
      <c r="B111" s="4">
        <f t="shared" si="9"/>
        <v>3.0301452952236825</v>
      </c>
      <c r="C111" s="4">
        <f t="shared" si="10"/>
        <v>5.9184509732801596</v>
      </c>
      <c r="D111" s="4">
        <f t="shared" si="8"/>
        <v>195.70515812630498</v>
      </c>
      <c r="E111" s="4">
        <f t="shared" si="11"/>
        <v>177.30008310599359</v>
      </c>
    </row>
    <row r="112" spans="1:5" x14ac:dyDescent="0.4">
      <c r="A112">
        <v>53.75</v>
      </c>
      <c r="B112" s="4">
        <f t="shared" si="9"/>
        <v>3.0274717022164617</v>
      </c>
      <c r="C112" s="4">
        <f t="shared" si="10"/>
        <v>5.89895021984315</v>
      </c>
      <c r="D112" s="4">
        <f t="shared" si="8"/>
        <v>195.67736068517104</v>
      </c>
      <c r="E112" s="4">
        <f t="shared" si="11"/>
        <v>177.33292869993443</v>
      </c>
    </row>
    <row r="113" spans="1:5" x14ac:dyDescent="0.4">
      <c r="A113">
        <v>54</v>
      </c>
      <c r="B113" s="4">
        <f t="shared" si="9"/>
        <v>3.0248107143327414</v>
      </c>
      <c r="C113" s="4">
        <f t="shared" si="10"/>
        <v>5.8796079319097156</v>
      </c>
      <c r="D113" s="4">
        <f t="shared" si="8"/>
        <v>195.64954160072091</v>
      </c>
      <c r="E113" s="4">
        <f t="shared" si="11"/>
        <v>177.36525985785113</v>
      </c>
    </row>
    <row r="114" spans="1:5" x14ac:dyDescent="0.4">
      <c r="A114">
        <v>54.25</v>
      </c>
      <c r="B114" s="4">
        <f t="shared" si="9"/>
        <v>3.0221622123264207</v>
      </c>
      <c r="C114" s="4">
        <f t="shared" si="10"/>
        <v>5.8604220949526633</v>
      </c>
      <c r="D114" s="4">
        <f t="shared" si="8"/>
        <v>195.62170200563907</v>
      </c>
      <c r="E114" s="4">
        <f t="shared" si="11"/>
        <v>177.39708397716288</v>
      </c>
    </row>
    <row r="115" spans="1:5" x14ac:dyDescent="0.4">
      <c r="A115">
        <v>54.5</v>
      </c>
      <c r="B115" s="4">
        <f t="shared" si="9"/>
        <v>3.0195260786261908</v>
      </c>
      <c r="C115" s="4">
        <f t="shared" si="10"/>
        <v>5.8413907292112937</v>
      </c>
      <c r="D115" s="4">
        <f t="shared" si="8"/>
        <v>195.59384300616111</v>
      </c>
      <c r="E115" s="4">
        <f t="shared" si="11"/>
        <v>177.42840832072352</v>
      </c>
    </row>
    <row r="116" spans="1:5" x14ac:dyDescent="0.4">
      <c r="A116">
        <v>54.75</v>
      </c>
      <c r="B116" s="4">
        <f t="shared" si="9"/>
        <v>3.0169021973044252</v>
      </c>
      <c r="C116" s="4">
        <f t="shared" si="10"/>
        <v>5.8225118889350247</v>
      </c>
      <c r="D116" s="4">
        <f t="shared" si="8"/>
        <v>195.56596568273659</v>
      </c>
      <c r="E116" s="4">
        <f t="shared" si="11"/>
        <v>177.45924001983715</v>
      </c>
    </row>
    <row r="117" spans="1:5" x14ac:dyDescent="0.4">
      <c r="A117">
        <v>55</v>
      </c>
      <c r="B117" s="4">
        <f t="shared" si="9"/>
        <v>3.0142904540467854</v>
      </c>
      <c r="C117" s="4">
        <f t="shared" si="10"/>
        <v>5.8037836616467349</v>
      </c>
      <c r="D117" s="4">
        <f t="shared" si="8"/>
        <v>195.53807109067276</v>
      </c>
      <c r="E117" s="4">
        <f t="shared" si="11"/>
        <v>177.48958607719231</v>
      </c>
    </row>
    <row r="118" spans="1:5" x14ac:dyDescent="0.4">
      <c r="A118">
        <v>55.25</v>
      </c>
      <c r="B118" s="4">
        <f t="shared" si="9"/>
        <v>3.0116907361225249</v>
      </c>
      <c r="C118" s="4">
        <f t="shared" si="10"/>
        <v>5.7852041674254604</v>
      </c>
      <c r="D118" s="4">
        <f t="shared" si="8"/>
        <v>195.51016026075996</v>
      </c>
      <c r="E118" s="4">
        <f t="shared" si="11"/>
        <v>177.51945336971829</v>
      </c>
    </row>
    <row r="119" spans="1:5" x14ac:dyDescent="0.4">
      <c r="A119">
        <v>55.5</v>
      </c>
      <c r="B119" s="4">
        <f t="shared" si="9"/>
        <v>3.0091029323554772</v>
      </c>
      <c r="C119" s="4">
        <f t="shared" si="10"/>
        <v>5.7667715582076422</v>
      </c>
      <c r="D119" s="4">
        <f t="shared" si="8"/>
        <v>195.48223419988003</v>
      </c>
      <c r="E119" s="4">
        <f t="shared" si="11"/>
        <v>177.54884865136626</v>
      </c>
    </row>
    <row r="120" spans="1:5" x14ac:dyDescent="0.4">
      <c r="A120">
        <v>55.75</v>
      </c>
      <c r="B120" s="4">
        <f t="shared" si="9"/>
        <v>3.0065269330956919</v>
      </c>
      <c r="C120" s="4">
        <f t="shared" si="10"/>
        <v>5.7484840171064295</v>
      </c>
      <c r="D120" s="4">
        <f t="shared" si="8"/>
        <v>195.45429389159668</v>
      </c>
      <c r="E120" s="4">
        <f t="shared" si="11"/>
        <v>177.57777855581671</v>
      </c>
    </row>
    <row r="121" spans="1:5" x14ac:dyDescent="0.4">
      <c r="A121">
        <v>56</v>
      </c>
      <c r="B121" s="4">
        <f t="shared" si="9"/>
        <v>3.0039626301917273</v>
      </c>
      <c r="C121" s="4">
        <f t="shared" si="10"/>
        <v>5.7303397577485953</v>
      </c>
      <c r="D121" s="4">
        <f t="shared" si="8"/>
        <v>195.42634029672996</v>
      </c>
      <c r="E121" s="4">
        <f t="shared" si="11"/>
        <v>177.60624959911573</v>
      </c>
    </row>
    <row r="122" spans="1:5" x14ac:dyDescent="0.4">
      <c r="A122">
        <v>56.25</v>
      </c>
      <c r="B122" s="4">
        <f t="shared" si="9"/>
        <v>3.0014099169635537</v>
      </c>
      <c r="C122" s="4">
        <f t="shared" si="10"/>
        <v>5.7123370236283266</v>
      </c>
      <c r="D122" s="4">
        <f t="shared" si="8"/>
        <v>195.39837435391451</v>
      </c>
      <c r="E122" s="4">
        <f t="shared" si="11"/>
        <v>177.63426818224298</v>
      </c>
    </row>
    <row r="123" spans="1:5" x14ac:dyDescent="0.4">
      <c r="A123">
        <v>56.5</v>
      </c>
      <c r="B123" s="4">
        <f t="shared" si="9"/>
        <v>2.99886868817608</v>
      </c>
      <c r="C123" s="4">
        <f t="shared" si="10"/>
        <v>5.6944740874776532</v>
      </c>
      <c r="D123" s="4">
        <f t="shared" si="8"/>
        <v>195.37039698014217</v>
      </c>
      <c r="E123" s="4">
        <f t="shared" si="11"/>
        <v>177.66184059361214</v>
      </c>
    </row>
    <row r="124" spans="1:5" x14ac:dyDescent="0.4">
      <c r="A124">
        <v>56.75</v>
      </c>
      <c r="B124" s="4">
        <f t="shared" si="9"/>
        <v>2.9963388400132556</v>
      </c>
      <c r="C124" s="4">
        <f t="shared" si="10"/>
        <v>5.6767492506526915</v>
      </c>
      <c r="D124" s="4">
        <f t="shared" si="8"/>
        <v>195.34240907128967</v>
      </c>
      <c r="E124" s="4">
        <f t="shared" si="11"/>
        <v>177.6889730115071</v>
      </c>
    </row>
    <row r="125" spans="1:5" x14ac:dyDescent="0.4">
      <c r="A125">
        <v>57</v>
      </c>
      <c r="B125" s="4">
        <f t="shared" si="9"/>
        <v>2.9938202700527601</v>
      </c>
      <c r="C125" s="4">
        <f t="shared" si="10"/>
        <v>5.6591608425355471</v>
      </c>
      <c r="D125" s="4">
        <f t="shared" si="8"/>
        <v>195.31441150263186</v>
      </c>
      <c r="E125" s="4">
        <f t="shared" si="11"/>
        <v>177.71567150645535</v>
      </c>
    </row>
    <row r="126" spans="1:5" x14ac:dyDescent="0.4">
      <c r="A126">
        <v>57.25</v>
      </c>
      <c r="B126" s="4">
        <f t="shared" si="9"/>
        <v>2.9913128772412509</v>
      </c>
      <c r="C126" s="4">
        <f t="shared" si="10"/>
        <v>5.6417072199512459</v>
      </c>
      <c r="D126" s="4">
        <f t="shared" si="8"/>
        <v>195.28640512934061</v>
      </c>
      <c r="E126" s="4">
        <f t="shared" si="11"/>
        <v>177.74194204353989</v>
      </c>
    </row>
    <row r="127" spans="1:5" x14ac:dyDescent="0.4">
      <c r="A127">
        <v>57.5</v>
      </c>
      <c r="B127" s="4">
        <f t="shared" si="9"/>
        <v>2.9888165618701543</v>
      </c>
      <c r="C127" s="4">
        <f t="shared" si="10"/>
        <v>5.6243867665992475</v>
      </c>
      <c r="D127" s="4">
        <f t="shared" si="8"/>
        <v>195.25839078697007</v>
      </c>
      <c r="E127" s="4">
        <f t="shared" si="11"/>
        <v>177.76779048465249</v>
      </c>
    </row>
    <row r="128" spans="1:5" x14ac:dyDescent="0.4">
      <c r="A128">
        <v>57.75</v>
      </c>
      <c r="B128" s="4">
        <f t="shared" si="9"/>
        <v>2.9863312255519885</v>
      </c>
      <c r="C128" s="4">
        <f t="shared" si="10"/>
        <v>5.607197892499185</v>
      </c>
      <c r="D128" s="4">
        <f t="shared" si="8"/>
        <v>195.23036929192918</v>
      </c>
      <c r="E128" s="4">
        <f t="shared" si="11"/>
        <v>177.79322259068974</v>
      </c>
    </row>
    <row r="129" spans="1:5" x14ac:dyDescent="0.4">
      <c r="A129">
        <v>58</v>
      </c>
      <c r="B129" s="4">
        <f t="shared" si="9"/>
        <v>2.9838567711972086</v>
      </c>
      <c r="C129" s="4">
        <f t="shared" si="10"/>
        <v>5.5901390334503773</v>
      </c>
      <c r="D129" s="4">
        <f t="shared" si="8"/>
        <v>195.20234144194032</v>
      </c>
      <c r="E129" s="4">
        <f t="shared" si="11"/>
        <v>177.81824402369261</v>
      </c>
    </row>
    <row r="130" spans="1:5" x14ac:dyDescent="0.4">
      <c r="A130">
        <v>58.25</v>
      </c>
      <c r="B130" s="4">
        <f t="shared" si="9"/>
        <v>2.9813931029915479</v>
      </c>
      <c r="C130" s="4">
        <f t="shared" si="10"/>
        <v>5.5732086505046876</v>
      </c>
      <c r="D130" s="4">
        <f t="shared" si="8"/>
        <v>195.17430801648672</v>
      </c>
      <c r="E130" s="4">
        <f t="shared" si="11"/>
        <v>177.84286034893304</v>
      </c>
    </row>
    <row r="131" spans="1:5" x14ac:dyDescent="0.4">
      <c r="A131">
        <v>58.5</v>
      </c>
      <c r="B131" s="4">
        <f t="shared" si="9"/>
        <v>2.9789401263738577</v>
      </c>
      <c r="C131" s="4">
        <f t="shared" si="10"/>
        <v>5.5564052294523991</v>
      </c>
      <c r="D131" s="4">
        <f t="shared" si="8"/>
        <v>195.14626977724694</v>
      </c>
      <c r="E131" s="4">
        <f t="shared" si="11"/>
        <v>177.86707703694728</v>
      </c>
    </row>
    <row r="132" spans="1:5" x14ac:dyDescent="0.4">
      <c r="A132">
        <v>58.75</v>
      </c>
      <c r="B132" s="4">
        <f t="shared" si="9"/>
        <v>2.9764977480144226</v>
      </c>
      <c r="C132" s="4">
        <f t="shared" si="10"/>
        <v>5.5397272803207178</v>
      </c>
      <c r="D132" s="4">
        <f t="shared" si="8"/>
        <v>195.11822746851792</v>
      </c>
      <c r="E132" s="4">
        <f t="shared" si="11"/>
        <v>177.89089946551852</v>
      </c>
    </row>
    <row r="133" spans="1:5" x14ac:dyDescent="0.4">
      <c r="A133">
        <v>59</v>
      </c>
      <c r="B133" s="4">
        <f t="shared" si="9"/>
        <v>2.9740658757937388</v>
      </c>
      <c r="C133" s="4">
        <f t="shared" si="10"/>
        <v>5.5231733368845086</v>
      </c>
      <c r="D133" s="4">
        <f t="shared" si="8"/>
        <v>195.0901818176271</v>
      </c>
      <c r="E133" s="4">
        <f t="shared" si="11"/>
        <v>177.91433292161037</v>
      </c>
    </row>
    <row r="134" spans="1:5" x14ac:dyDescent="0.4">
      <c r="A134">
        <v>59.25</v>
      </c>
      <c r="B134" s="4">
        <f t="shared" si="9"/>
        <v>2.9716444187817506</v>
      </c>
      <c r="C134" s="4">
        <f t="shared" si="10"/>
        <v>5.5067419561889004</v>
      </c>
      <c r="D134" s="4">
        <f t="shared" si="8"/>
        <v>195.06213353533266</v>
      </c>
      <c r="E134" s="4">
        <f t="shared" si="11"/>
        <v>177.93738260325202</v>
      </c>
    </row>
    <row r="135" spans="1:5" x14ac:dyDescent="0.4">
      <c r="A135">
        <v>59.5</v>
      </c>
      <c r="B135" s="4">
        <f t="shared" si="9"/>
        <v>2.9692332872175298</v>
      </c>
      <c r="C135" s="4">
        <f t="shared" si="10"/>
        <v>5.4904317180835482</v>
      </c>
      <c r="D135" s="4">
        <f t="shared" si="8"/>
        <v>195.03408331621418</v>
      </c>
      <c r="E135" s="4">
        <f t="shared" si="11"/>
        <v>177.96005362137677</v>
      </c>
    </row>
    <row r="136" spans="1:5" x14ac:dyDescent="0.4">
      <c r="A136">
        <v>59.75</v>
      </c>
      <c r="B136" s="4">
        <f t="shared" si="9"/>
        <v>2.9668323924893829</v>
      </c>
      <c r="C136" s="4">
        <f t="shared" si="10"/>
        <v>5.4742412247680541</v>
      </c>
      <c r="D136" s="4">
        <f t="shared" si="8"/>
        <v>195.00603183905216</v>
      </c>
      <c r="E136" s="4">
        <f t="shared" si="11"/>
        <v>177.98235100161557</v>
      </c>
    </row>
    <row r="137" spans="1:5" x14ac:dyDescent="0.4">
      <c r="A137">
        <v>60</v>
      </c>
      <c r="B137" s="4">
        <f t="shared" si="9"/>
        <v>2.9644416471153767</v>
      </c>
      <c r="C137" s="4">
        <f t="shared" si="10"/>
        <v>5.458169100348286</v>
      </c>
      <c r="D137" s="4">
        <f t="shared" si="8"/>
        <v>194.97797976719764</v>
      </c>
      <c r="E137" s="4">
        <f t="shared" si="11"/>
        <v>178.00427968604632</v>
      </c>
    </row>
    <row r="138" spans="1:5" x14ac:dyDescent="0.4">
      <c r="A138">
        <v>60.25</v>
      </c>
      <c r="B138" s="4">
        <f t="shared" si="9"/>
        <v>2.9620609647242837</v>
      </c>
      <c r="C138" s="4">
        <f t="shared" si="10"/>
        <v>5.4422139904034372</v>
      </c>
      <c r="D138" s="4">
        <f t="shared" si="8"/>
        <v>194.94992774893262</v>
      </c>
      <c r="E138" s="4">
        <f t="shared" si="11"/>
        <v>178.02584453490039</v>
      </c>
    </row>
    <row r="139" spans="1:5" x14ac:dyDescent="0.4">
      <c r="A139">
        <v>60.5</v>
      </c>
      <c r="B139" s="4">
        <f t="shared" si="9"/>
        <v>2.9596902600369157</v>
      </c>
      <c r="C139" s="4">
        <f t="shared" si="10"/>
        <v>5.4263745615632768</v>
      </c>
      <c r="D139" s="4">
        <f t="shared" si="8"/>
        <v>194.92187641782036</v>
      </c>
      <c r="E139" s="4">
        <f t="shared" si="11"/>
        <v>178.04705032822798</v>
      </c>
    </row>
    <row r="140" spans="1:5" x14ac:dyDescent="0.4">
      <c r="A140">
        <v>60.75</v>
      </c>
      <c r="B140" s="4">
        <f t="shared" si="9"/>
        <v>2.957329448847851</v>
      </c>
      <c r="C140" s="4">
        <f t="shared" si="10"/>
        <v>5.4106495010954667</v>
      </c>
      <c r="D140" s="4">
        <f t="shared" si="8"/>
        <v>194.89382639304679</v>
      </c>
      <c r="E140" s="4">
        <f t="shared" si="11"/>
        <v>178.06790176752256</v>
      </c>
    </row>
    <row r="141" spans="1:5" x14ac:dyDescent="0.4">
      <c r="A141">
        <v>61</v>
      </c>
      <c r="B141" s="4">
        <f t="shared" si="9"/>
        <v>2.9549784480075449</v>
      </c>
      <c r="C141" s="4">
        <f t="shared" si="10"/>
        <v>5.3950375165026605</v>
      </c>
      <c r="D141" s="4">
        <f t="shared" si="8"/>
        <v>194.86577827975347</v>
      </c>
      <c r="E141" s="4">
        <f t="shared" si="11"/>
        <v>178.08840347730691</v>
      </c>
    </row>
    <row r="142" spans="1:5" x14ac:dyDescent="0.4">
      <c r="A142">
        <v>61.25</v>
      </c>
      <c r="B142" s="4">
        <f t="shared" si="9"/>
        <v>2.9526371754048069</v>
      </c>
      <c r="C142" s="4">
        <f t="shared" si="10"/>
        <v>5.3795373351290907</v>
      </c>
      <c r="D142" s="4">
        <f t="shared" si="8"/>
        <v>194.83773266936109</v>
      </c>
      <c r="E142" s="4">
        <f t="shared" si="11"/>
        <v>178.10856000667997</v>
      </c>
    </row>
    <row r="143" spans="1:5" x14ac:dyDescent="0.4">
      <c r="A143">
        <v>61.5</v>
      </c>
      <c r="B143" s="4">
        <f t="shared" si="9"/>
        <v>2.9503055499496336</v>
      </c>
      <c r="C143" s="4">
        <f t="shared" si="10"/>
        <v>5.364147703776263</v>
      </c>
      <c r="D143" s="4">
        <f t="shared" ref="D143:D206" si="12">$B$6*$B$12/9.81*($B$9*SQRT(2/($B$9-1)*(2/($B$9+1))^(($B$9+1)/($B$9-1))*(1 - (A143/$B$3)^(($B$9-1)/$B$9))) + C143/$B$3*(A143 - $E$5))</f>
        <v>194.80969013988513</v>
      </c>
      <c r="E143" s="4">
        <f t="shared" si="11"/>
        <v>178.12837583082771</v>
      </c>
    </row>
    <row r="144" spans="1:5" x14ac:dyDescent="0.4">
      <c r="A144">
        <v>61.75</v>
      </c>
      <c r="B144" s="4">
        <f t="shared" ref="B144:B207" si="13">SQRT(2/($B$9-1)*((A144/$B$3)^((1-$B$9)/$B$9) - 1))</f>
        <v>2.9479834915564092</v>
      </c>
      <c r="C144" s="4">
        <f t="shared" ref="C144:C207" si="14">1/B144*(2/($B$9+1)*(1 + ($B$9-1)/2*B144^2))^(($B$9+1)/(2*$B$9-2))</f>
        <v>5.3488673883277915</v>
      </c>
      <c r="D144" s="4">
        <f t="shared" si="12"/>
        <v>194.78165125624352</v>
      </c>
      <c r="E144" s="4">
        <f t="shared" ref="E144:E207" si="15">$B$6*$B$12/9.81*($B$9*SQRT(2/($B$9-1)*(2/($B$9+1))^(($B$9+1)/($B$9-1))*(1 - (A144/$B$3)^(($B$9-1)/$B$9))) + C144/$B$3*(A144 - $E$4))</f>
        <v>178.14785535249737</v>
      </c>
    </row>
    <row r="145" spans="1:5" x14ac:dyDescent="0.4">
      <c r="A145">
        <v>62</v>
      </c>
      <c r="B145" s="4">
        <f t="shared" si="13"/>
        <v>2.9456709211274328</v>
      </c>
      <c r="C145" s="4">
        <f t="shared" si="14"/>
        <v>5.3336951733828357</v>
      </c>
      <c r="D145" s="4">
        <f t="shared" si="12"/>
        <v>194.75361657055598</v>
      </c>
      <c r="E145" s="4">
        <f t="shared" si="15"/>
        <v>178.16700290343672</v>
      </c>
    </row>
    <row r="146" spans="1:5" x14ac:dyDescent="0.4">
      <c r="A146">
        <v>62.25</v>
      </c>
      <c r="B146" s="4">
        <f t="shared" si="13"/>
        <v>2.9433677605367921</v>
      </c>
      <c r="C146" s="4">
        <f t="shared" si="14"/>
        <v>5.3186298618980672</v>
      </c>
      <c r="D146" s="4">
        <f t="shared" si="12"/>
        <v>194.72558662243586</v>
      </c>
      <c r="E146" s="4">
        <f t="shared" si="15"/>
        <v>178.1858227457995</v>
      </c>
    </row>
    <row r="147" spans="1:5" x14ac:dyDescent="0.4">
      <c r="A147">
        <v>62.5</v>
      </c>
      <c r="B147" s="4">
        <f t="shared" si="13"/>
        <v>2.9410739326145596</v>
      </c>
      <c r="C147" s="4">
        <f t="shared" si="14"/>
        <v>5.3036702748378781</v>
      </c>
      <c r="D147" s="4">
        <f t="shared" si="12"/>
        <v>194.69756193927472</v>
      </c>
      <c r="E147" s="4">
        <f t="shared" si="15"/>
        <v>178.20431907351755</v>
      </c>
    </row>
    <row r="148" spans="1:5" x14ac:dyDescent="0.4">
      <c r="A148">
        <v>62.75</v>
      </c>
      <c r="B148" s="4">
        <f t="shared" si="13"/>
        <v>2.9387893611313074</v>
      </c>
      <c r="C148" s="4">
        <f t="shared" si="14"/>
        <v>5.2888152508326511</v>
      </c>
      <c r="D148" s="4">
        <f t="shared" si="12"/>
        <v>194.66954303651951</v>
      </c>
      <c r="E148" s="4">
        <f t="shared" si="15"/>
        <v>178.22249601364064</v>
      </c>
    </row>
    <row r="149" spans="1:5" x14ac:dyDescent="0.4">
      <c r="A149">
        <v>63</v>
      </c>
      <c r="B149" s="4">
        <f t="shared" si="13"/>
        <v>2.9365139707829391</v>
      </c>
      <c r="C149" s="4">
        <f t="shared" si="14"/>
        <v>5.2740636458448114</v>
      </c>
      <c r="D149" s="4">
        <f t="shared" si="12"/>
        <v>194.64153041794273</v>
      </c>
      <c r="E149" s="4">
        <f t="shared" si="15"/>
        <v>178.24035762764549</v>
      </c>
    </row>
    <row r="150" spans="1:5" x14ac:dyDescent="0.4">
      <c r="A150">
        <v>63.25</v>
      </c>
      <c r="B150" s="4">
        <f t="shared" si="13"/>
        <v>2.9342476871758185</v>
      </c>
      <c r="C150" s="4">
        <f t="shared" si="14"/>
        <v>5.2594143328425424</v>
      </c>
      <c r="D150" s="4">
        <f t="shared" si="12"/>
        <v>194.61352457590581</v>
      </c>
      <c r="E150" s="4">
        <f t="shared" si="15"/>
        <v>178.25790791271348</v>
      </c>
    </row>
    <row r="151" spans="1:5" x14ac:dyDescent="0.4">
      <c r="A151">
        <v>63.5</v>
      </c>
      <c r="B151" s="4">
        <f t="shared" si="13"/>
        <v>2.9319904368121965</v>
      </c>
      <c r="C151" s="4">
        <f t="shared" si="14"/>
        <v>5.2448662014808054</v>
      </c>
      <c r="D151" s="4">
        <f t="shared" si="12"/>
        <v>194.58552599161587</v>
      </c>
      <c r="E151" s="4">
        <f t="shared" si="15"/>
        <v>178.27515080297943</v>
      </c>
    </row>
    <row r="152" spans="1:5" x14ac:dyDescent="0.4">
      <c r="A152">
        <v>63.75</v>
      </c>
      <c r="B152" s="4">
        <f t="shared" si="13"/>
        <v>2.9297421470759364</v>
      </c>
      <c r="C152" s="4">
        <f t="shared" si="14"/>
        <v>5.2304181577897291</v>
      </c>
      <c r="D152" s="4">
        <f t="shared" si="12"/>
        <v>194.55753513537604</v>
      </c>
      <c r="E152" s="4">
        <f t="shared" si="15"/>
        <v>178.29209017075121</v>
      </c>
    </row>
    <row r="153" spans="1:5" x14ac:dyDescent="0.4">
      <c r="A153">
        <v>64</v>
      </c>
      <c r="B153" s="4">
        <f t="shared" si="13"/>
        <v>2.9275027462185075</v>
      </c>
      <c r="C153" s="4">
        <f t="shared" si="14"/>
        <v>5.2160691238698442</v>
      </c>
      <c r="D153" s="4">
        <f t="shared" si="12"/>
        <v>194.5295524668295</v>
      </c>
      <c r="E153" s="4">
        <f t="shared" si="15"/>
        <v>178.30872982770111</v>
      </c>
    </row>
    <row r="154" spans="1:5" x14ac:dyDescent="0.4">
      <c r="A154">
        <v>64.25</v>
      </c>
      <c r="B154" s="4">
        <f t="shared" si="13"/>
        <v>2.9252721633452685</v>
      </c>
      <c r="C154" s="4">
        <f t="shared" si="14"/>
        <v>5.2018180375942835</v>
      </c>
      <c r="D154" s="4">
        <f t="shared" si="12"/>
        <v>194.50157843519744</v>
      </c>
      <c r="E154" s="4">
        <f t="shared" si="15"/>
        <v>178.32507352603028</v>
      </c>
    </row>
    <row r="155" spans="1:5" x14ac:dyDescent="0.4">
      <c r="A155">
        <v>64.5</v>
      </c>
      <c r="B155" s="4">
        <f t="shared" si="13"/>
        <v>2.9230503284020086</v>
      </c>
      <c r="C155" s="4">
        <f t="shared" si="14"/>
        <v>5.1876638523175735</v>
      </c>
      <c r="D155" s="4">
        <f t="shared" si="12"/>
        <v>194.47361347951124</v>
      </c>
      <c r="E155" s="4">
        <f t="shared" si="15"/>
        <v>178.34112495960628</v>
      </c>
    </row>
    <row r="156" spans="1:5" x14ac:dyDescent="0.4">
      <c r="A156">
        <v>64.75</v>
      </c>
      <c r="B156" s="4">
        <f t="shared" si="13"/>
        <v>2.920837172161765</v>
      </c>
      <c r="C156" s="4">
        <f t="shared" si="14"/>
        <v>5.1736055365909435</v>
      </c>
      <c r="D156" s="4">
        <f t="shared" si="12"/>
        <v>194.44565802883858</v>
      </c>
      <c r="E156" s="4">
        <f t="shared" si="15"/>
        <v>178.35688776507462</v>
      </c>
    </row>
    <row r="157" spans="1:5" x14ac:dyDescent="0.4">
      <c r="A157">
        <v>65</v>
      </c>
      <c r="B157" s="4">
        <f t="shared" si="13"/>
        <v>2.9186326262118829</v>
      </c>
      <c r="C157" s="4">
        <f t="shared" si="14"/>
        <v>5.1596420738839033</v>
      </c>
      <c r="D157" s="4">
        <f t="shared" si="12"/>
        <v>194.41771250250437</v>
      </c>
      <c r="E157" s="4">
        <f t="shared" si="15"/>
        <v>178.37236552294547</v>
      </c>
    </row>
    <row r="158" spans="1:5" x14ac:dyDescent="0.4">
      <c r="A158">
        <v>65.25</v>
      </c>
      <c r="B158" s="4">
        <f t="shared" si="13"/>
        <v>2.9164366229413408</v>
      </c>
      <c r="C158" s="4">
        <f t="shared" si="14"/>
        <v>5.1457724623119949</v>
      </c>
      <c r="D158" s="4">
        <f t="shared" si="12"/>
        <v>194.38977731030602</v>
      </c>
      <c r="E158" s="4">
        <f t="shared" si="15"/>
        <v>178.38756175865552</v>
      </c>
    </row>
    <row r="159" spans="1:5" x14ac:dyDescent="0.4">
      <c r="A159">
        <v>65.5</v>
      </c>
      <c r="B159" s="4">
        <f t="shared" si="13"/>
        <v>2.9142490955283109</v>
      </c>
      <c r="C159" s="4">
        <f t="shared" si="14"/>
        <v>5.1319957143705865</v>
      </c>
      <c r="D159" s="4">
        <f t="shared" si="12"/>
        <v>194.36185285272353</v>
      </c>
      <c r="E159" s="4">
        <f t="shared" si="15"/>
        <v>178.40247994360607</v>
      </c>
    </row>
    <row r="160" spans="1:5" x14ac:dyDescent="0.4">
      <c r="A160">
        <v>65.75</v>
      </c>
      <c r="B160" s="4">
        <f t="shared" si="13"/>
        <v>2.9120699779279628</v>
      </c>
      <c r="C160" s="4">
        <f t="shared" si="14"/>
        <v>5.1183108566743671</v>
      </c>
      <c r="D160" s="4">
        <f t="shared" si="12"/>
        <v>194.33393952112414</v>
      </c>
      <c r="E160" s="4">
        <f t="shared" si="15"/>
        <v>178.41712349617762</v>
      </c>
    </row>
    <row r="161" spans="1:6" x14ac:dyDescent="0.4">
      <c r="A161">
        <v>66</v>
      </c>
      <c r="B161" s="4">
        <f t="shared" si="13"/>
        <v>2.9098992048605035</v>
      </c>
      <c r="C161" s="4">
        <f t="shared" si="14"/>
        <v>5.1047169297026924</v>
      </c>
      <c r="D161" s="4">
        <f t="shared" si="12"/>
        <v>194.30603769796267</v>
      </c>
      <c r="E161" s="4">
        <f t="shared" si="15"/>
        <v>178.43149578272218</v>
      </c>
    </row>
    <row r="162" spans="1:6" x14ac:dyDescent="0.4">
      <c r="A162">
        <v>66.25</v>
      </c>
      <c r="B162" s="4">
        <f t="shared" si="13"/>
        <v>2.9077367117994406</v>
      </c>
      <c r="C162" s="4">
        <f t="shared" si="14"/>
        <v>5.0912129875503354</v>
      </c>
      <c r="D162" s="4">
        <f t="shared" si="12"/>
        <v>194.27814775697618</v>
      </c>
      <c r="E162" s="4">
        <f t="shared" si="15"/>
        <v>178.44560011853315</v>
      </c>
    </row>
    <row r="163" spans="1:6" x14ac:dyDescent="0.4">
      <c r="A163">
        <v>66.5</v>
      </c>
      <c r="B163" s="4">
        <f t="shared" si="13"/>
        <v>2.9055824349600798</v>
      </c>
      <c r="C163" s="4">
        <f t="shared" si="14"/>
        <v>5.0777980976837584</v>
      </c>
      <c r="D163" s="4">
        <f t="shared" si="12"/>
        <v>194.25027006337453</v>
      </c>
      <c r="E163" s="4">
        <f t="shared" si="15"/>
        <v>178.45943976879366</v>
      </c>
    </row>
    <row r="164" spans="1:6" x14ac:dyDescent="0.4">
      <c r="A164">
        <v>66.75</v>
      </c>
      <c r="B164" s="4">
        <f t="shared" si="13"/>
        <v>2.9034363112882247</v>
      </c>
      <c r="C164" s="4">
        <f t="shared" si="14"/>
        <v>5.0644713407025028</v>
      </c>
      <c r="D164" s="4">
        <f t="shared" si="12"/>
        <v>194.22240497402603</v>
      </c>
      <c r="E164" s="4">
        <f t="shared" si="15"/>
        <v>178.47301794950431</v>
      </c>
    </row>
    <row r="165" spans="1:6" x14ac:dyDescent="0.4">
      <c r="A165">
        <v>67</v>
      </c>
      <c r="B165" s="4">
        <f t="shared" si="13"/>
        <v>2.9012982784491039</v>
      </c>
      <c r="C165" s="4">
        <f t="shared" si="14"/>
        <v>5.0512318101058513</v>
      </c>
      <c r="D165" s="4">
        <f t="shared" si="12"/>
        <v>194.19455283763875</v>
      </c>
      <c r="E165" s="4">
        <f t="shared" si="15"/>
        <v>178.48633782839013</v>
      </c>
    </row>
    <row r="166" spans="1:6" x14ac:dyDescent="0.4">
      <c r="A166">
        <v>67.25</v>
      </c>
      <c r="B166" s="4">
        <f t="shared" si="13"/>
        <v>2.8991682748165046</v>
      </c>
      <c r="C166" s="4">
        <f t="shared" si="14"/>
        <v>5.0380786120644281</v>
      </c>
      <c r="D166" s="4">
        <f t="shared" si="12"/>
        <v>194.16671399493762</v>
      </c>
      <c r="E166" s="4">
        <f t="shared" si="15"/>
        <v>178.49940252578801</v>
      </c>
    </row>
    <row r="167" spans="1:6" x14ac:dyDescent="0.4">
      <c r="A167">
        <v>67.5</v>
      </c>
      <c r="B167" s="4">
        <f t="shared" si="13"/>
        <v>2.8970462394621035</v>
      </c>
      <c r="C167" s="4">
        <f t="shared" si="14"/>
        <v>5.0250108651966761</v>
      </c>
      <c r="D167" s="4">
        <f t="shared" si="12"/>
        <v>194.13888877883667</v>
      </c>
      <c r="E167" s="4">
        <f t="shared" si="15"/>
        <v>178.51221511551381</v>
      </c>
    </row>
    <row r="168" spans="1:6" x14ac:dyDescent="0.4">
      <c r="A168">
        <v>67.75</v>
      </c>
      <c r="B168" s="4">
        <f t="shared" si="13"/>
        <v>2.8949321121450025</v>
      </c>
      <c r="C168" s="4">
        <f t="shared" si="14"/>
        <v>5.0120277003500648</v>
      </c>
      <c r="D168" s="4">
        <f t="shared" si="12"/>
        <v>194.11107751460816</v>
      </c>
      <c r="E168" s="4">
        <f t="shared" si="15"/>
        <v>178.52477862571217</v>
      </c>
    </row>
    <row r="169" spans="1:6" x14ac:dyDescent="0.4">
      <c r="A169">
        <v>68</v>
      </c>
      <c r="B169" s="4">
        <f t="shared" si="13"/>
        <v>2.8928258333014591</v>
      </c>
      <c r="C169" s="4">
        <f t="shared" si="14"/>
        <v>4.9991282603869935</v>
      </c>
      <c r="D169" s="4">
        <f t="shared" si="12"/>
        <v>194.08328052004663</v>
      </c>
      <c r="E169" s="4">
        <f t="shared" si="15"/>
        <v>178.53709603968633</v>
      </c>
    </row>
    <row r="170" spans="1:6" x14ac:dyDescent="0.4">
      <c r="A170">
        <v>68.25</v>
      </c>
      <c r="B170" s="4">
        <f t="shared" si="13"/>
        <v>2.8907273440348069</v>
      </c>
      <c r="C170" s="4">
        <f t="shared" si="14"/>
        <v>4.9863116999751913</v>
      </c>
      <c r="D170" s="4">
        <f t="shared" si="12"/>
        <v>194.05549810563008</v>
      </c>
      <c r="E170" s="4">
        <f t="shared" si="15"/>
        <v>178.54917029671074</v>
      </c>
    </row>
    <row r="171" spans="1:6" x14ac:dyDescent="0.4">
      <c r="A171">
        <v>68.5</v>
      </c>
      <c r="B171" s="4">
        <f t="shared" si="13"/>
        <v>2.8886365861055618</v>
      </c>
      <c r="C171" s="4">
        <f t="shared" si="14"/>
        <v>4.9735771853824939</v>
      </c>
      <c r="D171" s="4">
        <f t="shared" si="12"/>
        <v>194.02773057467647</v>
      </c>
      <c r="E171" s="4">
        <f t="shared" si="15"/>
        <v>178.56100429282625</v>
      </c>
    </row>
    <row r="172" spans="1:6" x14ac:dyDescent="0.4">
      <c r="A172">
        <v>68.75</v>
      </c>
      <c r="B172" s="4">
        <f t="shared" si="13"/>
        <v>2.8865535019217128</v>
      </c>
      <c r="C172" s="4">
        <f t="shared" si="14"/>
        <v>4.9609238942759779</v>
      </c>
      <c r="D172" s="4">
        <f t="shared" si="12"/>
        <v>193.99997822349707</v>
      </c>
      <c r="E172" s="4">
        <f t="shared" si="15"/>
        <v>178.57260088161794</v>
      </c>
    </row>
    <row r="173" spans="1:6" x14ac:dyDescent="0.4">
      <c r="A173">
        <v>69</v>
      </c>
      <c r="B173" s="4">
        <f t="shared" si="13"/>
        <v>2.8844780345291858</v>
      </c>
      <c r="C173" s="4">
        <f t="shared" si="14"/>
        <v>4.9483510155252288</v>
      </c>
      <c r="D173" s="4">
        <f t="shared" si="12"/>
        <v>193.97224134154601</v>
      </c>
      <c r="E173" s="4">
        <f t="shared" si="15"/>
        <v>178.58396287497624</v>
      </c>
    </row>
    <row r="174" spans="1:6" x14ac:dyDescent="0.4">
      <c r="A174">
        <v>69.25</v>
      </c>
      <c r="B174" s="4">
        <f t="shared" si="13"/>
        <v>2.8824101276024896</v>
      </c>
      <c r="C174" s="4">
        <f t="shared" si="14"/>
        <v>4.9358577490097808</v>
      </c>
      <c r="D174" s="4">
        <f t="shared" si="12"/>
        <v>193.94452021156633</v>
      </c>
      <c r="E174" s="4">
        <f t="shared" si="15"/>
        <v>178.5950930438421</v>
      </c>
    </row>
    <row r="175" spans="1:6" x14ac:dyDescent="0.4">
      <c r="A175">
        <v>69.5</v>
      </c>
      <c r="B175" s="4">
        <f t="shared" si="13"/>
        <v>2.8803497254355248</v>
      </c>
      <c r="C175" s="4">
        <f t="shared" si="14"/>
        <v>4.9234433054304425</v>
      </c>
      <c r="D175" s="4">
        <f t="shared" si="12"/>
        <v>193.91681510973268</v>
      </c>
      <c r="E175" s="4">
        <f t="shared" si="15"/>
        <v>178.60599411893631</v>
      </c>
    </row>
    <row r="176" spans="1:6" x14ac:dyDescent="0.4">
      <c r="A176" s="12">
        <f>E5</f>
        <v>25.777916027744954</v>
      </c>
      <c r="B176" s="12">
        <f t="shared" si="13"/>
        <v>3.4525060630765396</v>
      </c>
      <c r="C176" s="12">
        <f t="shared" si="14"/>
        <v>10.001513484767967</v>
      </c>
      <c r="D176" s="12">
        <f t="shared" si="12"/>
        <v>197.99148706743787</v>
      </c>
      <c r="E176" s="12">
        <f t="shared" si="15"/>
        <v>166.8889896682258</v>
      </c>
      <c r="F176" s="2" t="s">
        <v>61</v>
      </c>
    </row>
    <row r="177" spans="1:5" x14ac:dyDescent="0.4">
      <c r="A177">
        <v>69.75</v>
      </c>
      <c r="B177" s="4">
        <f t="shared" si="13"/>
        <v>2.8782967729325679</v>
      </c>
      <c r="C177" s="4">
        <f t="shared" si="14"/>
        <v>4.9111069061246626</v>
      </c>
      <c r="D177" s="4">
        <f t="shared" si="12"/>
        <v>193.88912630579074</v>
      </c>
      <c r="E177" s="4">
        <f t="shared" si="15"/>
        <v>178.61666879147299</v>
      </c>
    </row>
    <row r="178" spans="1:5" x14ac:dyDescent="0.4">
      <c r="A178">
        <v>70</v>
      </c>
      <c r="B178" s="4">
        <f t="shared" si="13"/>
        <v>2.8762512155994076</v>
      </c>
      <c r="C178" s="4">
        <f t="shared" si="14"/>
        <v>4.8988477828855395</v>
      </c>
      <c r="D178" s="4">
        <f t="shared" si="12"/>
        <v>193.86145406319309</v>
      </c>
      <c r="E178" s="4">
        <f t="shared" si="15"/>
        <v>178.62711971385855</v>
      </c>
    </row>
    <row r="179" spans="1:5" x14ac:dyDescent="0.4">
      <c r="A179">
        <v>70.25</v>
      </c>
      <c r="B179" s="4">
        <f t="shared" si="13"/>
        <v>2.8742129995346524</v>
      </c>
      <c r="C179" s="4">
        <f t="shared" si="14"/>
        <v>4.8866651777846677</v>
      </c>
      <c r="D179" s="4">
        <f t="shared" si="12"/>
        <v>193.83379863923244</v>
      </c>
      <c r="E179" s="4">
        <f t="shared" si="15"/>
        <v>178.63734950037556</v>
      </c>
    </row>
    <row r="180" spans="1:5" x14ac:dyDescent="0.4">
      <c r="A180">
        <v>70.5</v>
      </c>
      <c r="B180" s="4">
        <f t="shared" si="13"/>
        <v>2.8721820714211863</v>
      </c>
      <c r="C180" s="4">
        <f t="shared" si="14"/>
        <v>4.8745583429985535</v>
      </c>
      <c r="D180" s="4">
        <f t="shared" si="12"/>
        <v>193.80616028517147</v>
      </c>
      <c r="E180" s="4">
        <f t="shared" si="15"/>
        <v>178.64736072785252</v>
      </c>
    </row>
    <row r="181" spans="1:5" x14ac:dyDescent="0.4">
      <c r="A181">
        <v>70.75</v>
      </c>
      <c r="B181" s="4">
        <f t="shared" si="13"/>
        <v>2.8701583785177842</v>
      </c>
      <c r="C181" s="4">
        <f t="shared" si="14"/>
        <v>4.8625265406385694</v>
      </c>
      <c r="D181" s="4">
        <f t="shared" si="12"/>
        <v>193.77853924636952</v>
      </c>
      <c r="E181" s="4">
        <f t="shared" si="15"/>
        <v>178.65715593631944</v>
      </c>
    </row>
    <row r="182" spans="1:5" x14ac:dyDescent="0.4">
      <c r="A182">
        <v>71</v>
      </c>
      <c r="B182" s="4">
        <f t="shared" si="13"/>
        <v>2.8681418686508682</v>
      </c>
      <c r="C182" s="4">
        <f t="shared" si="14"/>
        <v>4.8505690425843468</v>
      </c>
      <c r="D182" s="4">
        <f t="shared" si="12"/>
        <v>193.75093576240678</v>
      </c>
      <c r="E182" s="4">
        <f t="shared" si="15"/>
        <v>178.66673762965002</v>
      </c>
    </row>
    <row r="183" spans="1:5" x14ac:dyDescent="0.4">
      <c r="A183">
        <v>71.25</v>
      </c>
      <c r="B183" s="4">
        <f t="shared" si="13"/>
        <v>2.866132490206418</v>
      </c>
      <c r="C183" s="4">
        <f t="shared" si="14"/>
        <v>4.8386851303205773</v>
      </c>
      <c r="D183" s="4">
        <f t="shared" si="12"/>
        <v>193.72335006720553</v>
      </c>
      <c r="E183" s="4">
        <f t="shared" si="15"/>
        <v>178.67610827619038</v>
      </c>
    </row>
    <row r="184" spans="1:5" x14ac:dyDescent="0.4">
      <c r="A184">
        <v>71.5</v>
      </c>
      <c r="B184" s="4">
        <f t="shared" si="13"/>
        <v>2.8641301921220226</v>
      </c>
      <c r="C184" s="4">
        <f t="shared" si="14"/>
        <v>4.8268740947770565</v>
      </c>
      <c r="D184" s="4">
        <f t="shared" si="12"/>
        <v>193.69578238914815</v>
      </c>
      <c r="E184" s="4">
        <f t="shared" si="15"/>
        <v>178.6852703093746</v>
      </c>
    </row>
    <row r="185" spans="1:5" x14ac:dyDescent="0.4">
      <c r="A185">
        <v>71.75</v>
      </c>
      <c r="B185" s="4">
        <f t="shared" si="13"/>
        <v>2.8621349238790716</v>
      </c>
      <c r="C185" s="4">
        <f t="shared" si="14"/>
        <v>4.8151352361719919</v>
      </c>
      <c r="D185" s="4">
        <f t="shared" si="12"/>
        <v>193.66823295119323</v>
      </c>
      <c r="E185" s="4">
        <f t="shared" si="15"/>
        <v>178.69422612832804</v>
      </c>
    </row>
    <row r="186" spans="1:5" x14ac:dyDescent="0.4">
      <c r="A186">
        <v>72</v>
      </c>
      <c r="B186" s="4">
        <f t="shared" si="13"/>
        <v>2.8601466354950826</v>
      </c>
      <c r="C186" s="4">
        <f t="shared" si="14"/>
        <v>4.8034678638583985</v>
      </c>
      <c r="D186" s="4">
        <f t="shared" si="12"/>
        <v>193.64070197098832</v>
      </c>
      <c r="E186" s="4">
        <f t="shared" si="15"/>
        <v>178.70297809845778</v>
      </c>
    </row>
    <row r="187" spans="1:5" x14ac:dyDescent="0.4">
      <c r="A187">
        <v>72.25</v>
      </c>
      <c r="B187" s="4">
        <f t="shared" si="13"/>
        <v>2.8581652775161666</v>
      </c>
      <c r="C187" s="4">
        <f t="shared" si="14"/>
        <v>4.7918712961735785</v>
      </c>
      <c r="D187" s="4">
        <f t="shared" si="12"/>
        <v>193.61318966098068</v>
      </c>
      <c r="E187" s="4">
        <f t="shared" si="15"/>
        <v>178.7115285520315</v>
      </c>
    </row>
    <row r="188" spans="1:5" x14ac:dyDescent="0.4">
      <c r="A188">
        <v>72.5</v>
      </c>
      <c r="B188" s="4">
        <f t="shared" si="13"/>
        <v>2.856190801009622</v>
      </c>
      <c r="C188" s="4">
        <f t="shared" si="14"/>
        <v>4.7803448602916072</v>
      </c>
      <c r="D188" s="4">
        <f t="shared" si="12"/>
        <v>193.58569622852497</v>
      </c>
      <c r="E188" s="4">
        <f t="shared" si="15"/>
        <v>178.71987978874381</v>
      </c>
    </row>
    <row r="189" spans="1:5" x14ac:dyDescent="0.4">
      <c r="A189">
        <v>72.75</v>
      </c>
      <c r="B189" s="4">
        <f t="shared" si="13"/>
        <v>2.8542231575566595</v>
      </c>
      <c r="C189" s="4">
        <f t="shared" si="14"/>
        <v>4.7688878920787081</v>
      </c>
      <c r="D189" s="4">
        <f t="shared" si="12"/>
        <v>193.55822187598912</v>
      </c>
      <c r="E189" s="4">
        <f t="shared" si="15"/>
        <v>178.72803407627202</v>
      </c>
    </row>
    <row r="190" spans="1:5" x14ac:dyDescent="0.4">
      <c r="A190">
        <v>73</v>
      </c>
      <c r="B190" s="4">
        <f t="shared" si="13"/>
        <v>2.8522622992452513</v>
      </c>
      <c r="C190" s="4">
        <f t="shared" si="14"/>
        <v>4.7574997359515185</v>
      </c>
      <c r="D190" s="4">
        <f t="shared" si="12"/>
        <v>193.53076680085746</v>
      </c>
      <c r="E190" s="4">
        <f t="shared" si="15"/>
        <v>178.73599365081986</v>
      </c>
    </row>
    <row r="191" spans="1:5" x14ac:dyDescent="0.4">
      <c r="A191">
        <v>73.25</v>
      </c>
      <c r="B191" s="4">
        <f t="shared" si="13"/>
        <v>2.8503081786631053</v>
      </c>
      <c r="C191" s="4">
        <f t="shared" si="14"/>
        <v>4.7461797447381002</v>
      </c>
      <c r="D191" s="4">
        <f t="shared" si="12"/>
        <v>193.50333119583149</v>
      </c>
      <c r="E191" s="4">
        <f t="shared" si="15"/>
        <v>178.74376071765056</v>
      </c>
    </row>
    <row r="192" spans="1:5" x14ac:dyDescent="0.4">
      <c r="A192">
        <v>73.5</v>
      </c>
      <c r="B192" s="4">
        <f t="shared" si="13"/>
        <v>2.8483607488907623</v>
      </c>
      <c r="C192" s="4">
        <f t="shared" si="14"/>
        <v>4.7349272795417621</v>
      </c>
      <c r="D192" s="4">
        <f t="shared" si="12"/>
        <v>193.47591524892874</v>
      </c>
      <c r="E192" s="4">
        <f t="shared" si="15"/>
        <v>178.75133745160926</v>
      </c>
    </row>
    <row r="193" spans="1:5" x14ac:dyDescent="0.4">
      <c r="A193">
        <v>73.75</v>
      </c>
      <c r="B193" s="4">
        <f t="shared" si="13"/>
        <v>2.8464199634948062</v>
      </c>
      <c r="C193" s="4">
        <f t="shared" si="14"/>
        <v>4.7237417096073706</v>
      </c>
      <c r="D193" s="4">
        <f t="shared" si="12"/>
        <v>193.44851914357889</v>
      </c>
      <c r="E193" s="4">
        <f t="shared" si="15"/>
        <v>178.75872599763471</v>
      </c>
    </row>
    <row r="194" spans="1:5" x14ac:dyDescent="0.4">
      <c r="A194">
        <v>74</v>
      </c>
      <c r="B194" s="4">
        <f t="shared" si="13"/>
        <v>2.8444857765211951</v>
      </c>
      <c r="C194" s="4">
        <f t="shared" si="14"/>
        <v>4.7126224121904974</v>
      </c>
      <c r="D194" s="4">
        <f t="shared" si="12"/>
        <v>193.42114305871831</v>
      </c>
      <c r="E194" s="4">
        <f t="shared" si="15"/>
        <v>178.76592847126088</v>
      </c>
    </row>
    <row r="195" spans="1:5" x14ac:dyDescent="0.4">
      <c r="A195">
        <v>74.25</v>
      </c>
      <c r="B195" s="4">
        <f t="shared" si="13"/>
        <v>2.8425581424887083</v>
      </c>
      <c r="C195" s="4">
        <f t="shared" si="14"/>
        <v>4.701568772428911</v>
      </c>
      <c r="D195" s="4">
        <f t="shared" si="12"/>
        <v>193.39378716888223</v>
      </c>
      <c r="E195" s="4">
        <f t="shared" si="15"/>
        <v>178.77294695910876</v>
      </c>
    </row>
    <row r="196" spans="1:5" x14ac:dyDescent="0.4">
      <c r="A196">
        <v>74.5</v>
      </c>
      <c r="B196" s="4">
        <f t="shared" si="13"/>
        <v>2.8406370163824954</v>
      </c>
      <c r="C196" s="4">
        <f t="shared" si="14"/>
        <v>4.6905801832166416</v>
      </c>
      <c r="D196" s="4">
        <f t="shared" si="12"/>
        <v>193.36645164429484</v>
      </c>
      <c r="E196" s="4">
        <f t="shared" si="15"/>
        <v>178.77978351936795</v>
      </c>
    </row>
    <row r="197" spans="1:5" x14ac:dyDescent="0.4">
      <c r="A197">
        <v>74.75</v>
      </c>
      <c r="B197" s="4">
        <f t="shared" si="13"/>
        <v>2.8387223536477459</v>
      </c>
      <c r="C197" s="4">
        <f t="shared" si="14"/>
        <v>4.6796560450804705</v>
      </c>
      <c r="D197" s="4">
        <f t="shared" si="12"/>
        <v>193.33913665095758</v>
      </c>
      <c r="E197" s="4">
        <f t="shared" si="15"/>
        <v>178.78644018226919</v>
      </c>
    </row>
    <row r="198" spans="1:5" x14ac:dyDescent="0.4">
      <c r="A198">
        <v>75</v>
      </c>
      <c r="B198" s="4">
        <f t="shared" si="13"/>
        <v>2.8368141101834548</v>
      </c>
      <c r="C198" s="4">
        <f t="shared" si="14"/>
        <v>4.6687957660587509</v>
      </c>
      <c r="D198" s="4">
        <f t="shared" si="12"/>
        <v>193.31184235073522</v>
      </c>
      <c r="E198" s="4">
        <f t="shared" si="15"/>
        <v>178.79291895054712</v>
      </c>
    </row>
    <row r="199" spans="1:5" x14ac:dyDescent="0.4">
      <c r="A199">
        <v>75.25</v>
      </c>
      <c r="B199" s="4">
        <f t="shared" si="13"/>
        <v>2.834912242336308</v>
      </c>
      <c r="C199" s="4">
        <f t="shared" si="14"/>
        <v>4.6579987615826512</v>
      </c>
      <c r="D199" s="4">
        <f t="shared" si="12"/>
        <v>193.28456890144039</v>
      </c>
      <c r="E199" s="4">
        <f t="shared" si="15"/>
        <v>178.7992217998943</v>
      </c>
    </row>
    <row r="200" spans="1:5" x14ac:dyDescent="0.4">
      <c r="A200">
        <v>75.5</v>
      </c>
      <c r="B200" s="4">
        <f t="shared" si="13"/>
        <v>2.8330167068946501</v>
      </c>
      <c r="C200" s="4">
        <f t="shared" si="14"/>
        <v>4.6472644543594912</v>
      </c>
      <c r="D200" s="4">
        <f t="shared" si="12"/>
        <v>193.25731645691587</v>
      </c>
      <c r="E200" s="4">
        <f t="shared" si="15"/>
        <v>178.80535067940633</v>
      </c>
    </row>
    <row r="201" spans="1:5" x14ac:dyDescent="0.4">
      <c r="A201">
        <v>75.75</v>
      </c>
      <c r="B201" s="4">
        <f t="shared" si="13"/>
        <v>2.8311274610825707</v>
      </c>
      <c r="C201" s="4">
        <f t="shared" si="14"/>
        <v>4.636592274258466</v>
      </c>
      <c r="D201" s="4">
        <f t="shared" si="12"/>
        <v>193.23008516711548</v>
      </c>
      <c r="E201" s="4">
        <f t="shared" si="15"/>
        <v>178.81130751201781</v>
      </c>
    </row>
    <row r="202" spans="1:5" x14ac:dyDescent="0.4">
      <c r="A202">
        <v>76</v>
      </c>
      <c r="B202" s="4">
        <f t="shared" si="13"/>
        <v>2.829244462554084</v>
      </c>
      <c r="C202" s="4">
        <f t="shared" si="14"/>
        <v>4.6259816581984659</v>
      </c>
      <c r="D202" s="4">
        <f t="shared" si="12"/>
        <v>193.20287517818301</v>
      </c>
      <c r="E202" s="4">
        <f t="shared" si="15"/>
        <v>178.81709419493029</v>
      </c>
    </row>
    <row r="203" spans="1:5" x14ac:dyDescent="0.4">
      <c r="A203">
        <v>76.25</v>
      </c>
      <c r="B203" s="4">
        <f t="shared" si="13"/>
        <v>2.8273676693873964</v>
      </c>
      <c r="C203" s="4">
        <f t="shared" si="14"/>
        <v>4.6154320500380033</v>
      </c>
      <c r="D203" s="4">
        <f t="shared" si="12"/>
        <v>193.17568663252922</v>
      </c>
      <c r="E203" s="4">
        <f t="shared" si="15"/>
        <v>178.82271260003182</v>
      </c>
    </row>
    <row r="204" spans="1:5" x14ac:dyDescent="0.4">
      <c r="A204">
        <v>76.5</v>
      </c>
      <c r="B204" s="4">
        <f t="shared" si="13"/>
        <v>2.8254970400792851</v>
      </c>
      <c r="C204" s="4">
        <f t="shared" si="14"/>
        <v>4.6049429004672309</v>
      </c>
      <c r="D204" s="4">
        <f t="shared" si="12"/>
        <v>193.14851966890771</v>
      </c>
      <c r="E204" s="4">
        <f t="shared" si="15"/>
        <v>178.82816457430826</v>
      </c>
    </row>
    <row r="205" spans="1:5" x14ac:dyDescent="0.4">
      <c r="A205">
        <v>76.75</v>
      </c>
      <c r="B205" s="4">
        <f t="shared" si="13"/>
        <v>2.8236325335395538</v>
      </c>
      <c r="C205" s="4">
        <f t="shared" si="14"/>
        <v>4.5945136669019879</v>
      </c>
      <c r="D205" s="4">
        <f t="shared" si="12"/>
        <v>193.12137442248874</v>
      </c>
      <c r="E205" s="4">
        <f t="shared" si="15"/>
        <v>178.83345194024668</v>
      </c>
    </row>
    <row r="206" spans="1:5" x14ac:dyDescent="0.4">
      <c r="A206">
        <v>77</v>
      </c>
      <c r="B206" s="4">
        <f t="shared" si="13"/>
        <v>2.8217741090855895</v>
      </c>
      <c r="C206" s="4">
        <f t="shared" si="14"/>
        <v>4.5841438133798285</v>
      </c>
      <c r="D206" s="4">
        <f t="shared" si="12"/>
        <v>193.09425102493128</v>
      </c>
      <c r="E206" s="4">
        <f t="shared" si="15"/>
        <v>178.83857649623087</v>
      </c>
    </row>
    <row r="207" spans="1:5" x14ac:dyDescent="0.4">
      <c r="A207">
        <v>77.25</v>
      </c>
      <c r="B207" s="4">
        <f t="shared" si="13"/>
        <v>2.8199217264370047</v>
      </c>
      <c r="C207" s="4">
        <f t="shared" si="14"/>
        <v>4.573832810457982</v>
      </c>
      <c r="D207" s="4">
        <f t="shared" ref="D207:D270" si="16">$B$6*$B$12/9.81*($B$9*SQRT(2/($B$9-1)*(2/($B$9+1))^(($B$9+1)/($B$9-1))*(1 - (A207/$B$3)^(($B$9-1)/$B$9))) + C207/$B$3*(A207 - $E$5))</f>
        <v>193.06714960445424</v>
      </c>
      <c r="E207" s="4">
        <f t="shared" si="15"/>
        <v>178.84354001692984</v>
      </c>
    </row>
    <row r="208" spans="1:5" x14ac:dyDescent="0.4">
      <c r="A208">
        <v>77.5</v>
      </c>
      <c r="B208" s="4">
        <f t="shared" ref="B208:B271" si="17">SQRT(2/($B$9-1)*((A208/$B$3)^((1-$B$9)/$B$9) - 1))</f>
        <v>2.8180753457103696</v>
      </c>
      <c r="C208" s="4">
        <f t="shared" ref="C208:C271" si="18">1/B208*(2/($B$9+1)*(1 + ($B$9-1)/2*B208^2))^(($B$9+1)/(2*$B$9-2))</f>
        <v>4.5635801351132308</v>
      </c>
      <c r="D208" s="4">
        <f t="shared" si="16"/>
        <v>193.04007028590553</v>
      </c>
      <c r="E208" s="4">
        <f t="shared" ref="E208:E271" si="19">$B$6*$B$12/9.81*($B$9*SQRT(2/($B$9-1)*(2/($B$9+1))^(($B$9+1)/($B$9-1))*(1 - (A208/$B$3)^(($B$9-1)/$B$9))) + C208/$B$3*(A208 - $E$4))</f>
        <v>178.84834425367811</v>
      </c>
    </row>
    <row r="209" spans="1:5" x14ac:dyDescent="0.4">
      <c r="A209">
        <v>77.75</v>
      </c>
      <c r="B209" s="4">
        <f t="shared" si="17"/>
        <v>2.8162349274140261</v>
      </c>
      <c r="C209" s="4">
        <f t="shared" si="18"/>
        <v>4.5533852706436111</v>
      </c>
      <c r="D209" s="4">
        <f t="shared" si="16"/>
        <v>193.01301319082961</v>
      </c>
      <c r="E209" s="4">
        <f t="shared" si="19"/>
        <v>178.85299093484909</v>
      </c>
    </row>
    <row r="210" spans="1:5" x14ac:dyDescent="0.4">
      <c r="A210">
        <v>78</v>
      </c>
      <c r="B210" s="4">
        <f t="shared" si="17"/>
        <v>2.814400432442989</v>
      </c>
      <c r="C210" s="4">
        <f t="shared" si="18"/>
        <v>4.5432477065719405</v>
      </c>
      <c r="D210" s="4">
        <f t="shared" si="16"/>
        <v>192.98597843753407</v>
      </c>
      <c r="E210" s="4">
        <f t="shared" si="19"/>
        <v>178.85748176622172</v>
      </c>
    </row>
    <row r="211" spans="1:5" x14ac:dyDescent="0.4">
      <c r="A211">
        <v>78.25</v>
      </c>
      <c r="B211" s="4">
        <f t="shared" si="17"/>
        <v>2.8125718220739304</v>
      </c>
      <c r="C211" s="4">
        <f t="shared" si="18"/>
        <v>4.5331669385511733</v>
      </c>
      <c r="D211" s="4">
        <f t="shared" si="16"/>
        <v>192.95896614115478</v>
      </c>
      <c r="E211" s="4">
        <f t="shared" si="19"/>
        <v>178.86181843133963</v>
      </c>
    </row>
    <row r="212" spans="1:5" x14ac:dyDescent="0.4">
      <c r="A212">
        <v>78.5</v>
      </c>
      <c r="B212" s="4">
        <f t="shared" si="17"/>
        <v>2.8107490579602419</v>
      </c>
      <c r="C212" s="4">
        <f t="shared" si="18"/>
        <v>4.5231424682713808</v>
      </c>
      <c r="D212" s="4">
        <f t="shared" si="16"/>
        <v>192.9319764137187</v>
      </c>
      <c r="E212" s="4">
        <f t="shared" si="19"/>
        <v>178.86600259186363</v>
      </c>
    </row>
    <row r="213" spans="1:5" x14ac:dyDescent="0.4">
      <c r="A213">
        <v>78.75</v>
      </c>
      <c r="B213" s="4">
        <f t="shared" si="17"/>
        <v>2.8089321021271796</v>
      </c>
      <c r="C213" s="4">
        <f t="shared" si="18"/>
        <v>4.51317380336857</v>
      </c>
      <c r="D213" s="4">
        <f t="shared" si="16"/>
        <v>192.90500936420673</v>
      </c>
      <c r="E213" s="4">
        <f t="shared" si="19"/>
        <v>178.87003588791796</v>
      </c>
    </row>
    <row r="214" spans="1:5" x14ac:dyDescent="0.4">
      <c r="A214">
        <v>79</v>
      </c>
      <c r="B214" s="4">
        <f t="shared" si="17"/>
        <v>2.8071209169670843</v>
      </c>
      <c r="C214" s="4">
        <f t="shared" si="18"/>
        <v>4.5032604573350348</v>
      </c>
      <c r="D214" s="4">
        <f t="shared" si="16"/>
        <v>192.87806509861434</v>
      </c>
      <c r="E214" s="4">
        <f t="shared" si="19"/>
        <v>178.8739199384294</v>
      </c>
    </row>
    <row r="215" spans="1:5" x14ac:dyDescent="0.4">
      <c r="A215">
        <v>79.25</v>
      </c>
      <c r="B215" s="4">
        <f t="shared" si="17"/>
        <v>2.8053154652346795</v>
      </c>
      <c r="C215" s="4">
        <f t="shared" si="18"/>
        <v>4.4934019494314361</v>
      </c>
      <c r="D215" s="4">
        <f t="shared" si="16"/>
        <v>192.85114372001109</v>
      </c>
      <c r="E215" s="4">
        <f t="shared" si="19"/>
        <v>178.87765634146081</v>
      </c>
    </row>
    <row r="216" spans="1:5" x14ac:dyDescent="0.4">
      <c r="A216">
        <v>79.5</v>
      </c>
      <c r="B216" s="4">
        <f t="shared" si="17"/>
        <v>2.8035157100424435</v>
      </c>
      <c r="C216" s="4">
        <f t="shared" si="18"/>
        <v>4.4835978046004312</v>
      </c>
      <c r="D216" s="4">
        <f t="shared" si="16"/>
        <v>192.82424532859915</v>
      </c>
      <c r="E216" s="4">
        <f t="shared" si="19"/>
        <v>178.88124667453761</v>
      </c>
    </row>
    <row r="217" spans="1:5" x14ac:dyDescent="0.4">
      <c r="A217">
        <v>79.75</v>
      </c>
      <c r="B217" s="4">
        <f t="shared" si="17"/>
        <v>2.8017216148560546</v>
      </c>
      <c r="C217" s="4">
        <f t="shared" si="18"/>
        <v>4.4738475533818534</v>
      </c>
      <c r="D217" s="4">
        <f t="shared" si="16"/>
        <v>192.79737002177006</v>
      </c>
      <c r="E217" s="4">
        <f t="shared" si="19"/>
        <v>178.88469249496887</v>
      </c>
    </row>
    <row r="218" spans="1:5" x14ac:dyDescent="0.4">
      <c r="A218">
        <v>80</v>
      </c>
      <c r="B218" s="4">
        <f t="shared" si="17"/>
        <v>2.7999331434899131</v>
      </c>
      <c r="C218" s="4">
        <f t="shared" si="18"/>
        <v>4.4641507318294682</v>
      </c>
      <c r="D218" s="4">
        <f t="shared" si="16"/>
        <v>192.77051789416123</v>
      </c>
      <c r="E218" s="4">
        <f t="shared" si="19"/>
        <v>178.88799534016218</v>
      </c>
    </row>
    <row r="219" spans="1:5" x14ac:dyDescent="0.4">
      <c r="A219">
        <v>80.25</v>
      </c>
      <c r="B219" s="4">
        <f t="shared" si="17"/>
        <v>2.7981502601027248</v>
      </c>
      <c r="C219" s="4">
        <f t="shared" si="18"/>
        <v>4.454506881429154</v>
      </c>
      <c r="D219" s="4">
        <f t="shared" si="16"/>
        <v>192.74368903770988</v>
      </c>
      <c r="E219" s="4">
        <f t="shared" si="19"/>
        <v>178.89115672793247</v>
      </c>
    </row>
    <row r="220" spans="1:5" x14ac:dyDescent="0.4">
      <c r="A220">
        <v>80.5</v>
      </c>
      <c r="B220" s="4">
        <f t="shared" si="17"/>
        <v>2.7963729291931618</v>
      </c>
      <c r="C220" s="4">
        <f t="shared" si="18"/>
        <v>4.4449155490186092</v>
      </c>
      <c r="D220" s="4">
        <f t="shared" si="16"/>
        <v>192.71688354170749</v>
      </c>
      <c r="E220" s="4">
        <f t="shared" si="19"/>
        <v>178.89417815680582</v>
      </c>
    </row>
    <row r="221" spans="1:5" x14ac:dyDescent="0.4">
      <c r="A221" s="4">
        <v>80.75</v>
      </c>
      <c r="B221" s="4">
        <f t="shared" si="17"/>
        <v>2.7946011155955905</v>
      </c>
      <c r="C221" s="4">
        <f t="shared" si="18"/>
        <v>4.4353762867084585</v>
      </c>
      <c r="D221" s="4">
        <f t="shared" si="16"/>
        <v>192.69010149285154</v>
      </c>
      <c r="E221" s="4">
        <f t="shared" si="19"/>
        <v>178.89706110631676</v>
      </c>
    </row>
    <row r="222" spans="1:5" x14ac:dyDescent="0.4">
      <c r="A222" s="11">
        <v>81</v>
      </c>
      <c r="B222" s="4">
        <f t="shared" si="17"/>
        <v>2.7928347844758603</v>
      </c>
      <c r="C222" s="4">
        <f t="shared" si="18"/>
        <v>4.4258886518047689</v>
      </c>
      <c r="D222" s="4">
        <f t="shared" si="16"/>
        <v>192.66334297529741</v>
      </c>
      <c r="E222" s="4">
        <f t="shared" si="19"/>
        <v>178.89980703730095</v>
      </c>
    </row>
    <row r="223" spans="1:5" x14ac:dyDescent="0.4">
      <c r="A223">
        <v>81.25</v>
      </c>
      <c r="B223" s="4">
        <f t="shared" si="17"/>
        <v>2.7910739013271662</v>
      </c>
      <c r="C223" s="4">
        <f t="shared" si="18"/>
        <v>4.4164522067329557</v>
      </c>
      <c r="D223" s="4">
        <f t="shared" si="16"/>
        <v>192.63660807070849</v>
      </c>
      <c r="E223" s="4">
        <f t="shared" si="19"/>
        <v>178.90241739218212</v>
      </c>
    </row>
    <row r="224" spans="1:5" x14ac:dyDescent="0.4">
      <c r="A224">
        <v>81.5</v>
      </c>
      <c r="B224" s="4">
        <f t="shared" si="17"/>
        <v>2.7893184319659698</v>
      </c>
      <c r="C224" s="4">
        <f t="shared" si="18"/>
        <v>4.4070665189630054</v>
      </c>
      <c r="D224" s="4">
        <f t="shared" si="16"/>
        <v>192.60989685830549</v>
      </c>
      <c r="E224" s="4">
        <f t="shared" si="19"/>
        <v>178.9048935952537</v>
      </c>
    </row>
    <row r="225" spans="1:5" x14ac:dyDescent="0.4">
      <c r="A225">
        <v>81.75</v>
      </c>
      <c r="B225" s="4">
        <f t="shared" si="17"/>
        <v>2.7875683425279858</v>
      </c>
      <c r="C225" s="4">
        <f t="shared" si="18"/>
        <v>4.3977311609360239</v>
      </c>
      <c r="D225" s="4">
        <f t="shared" si="16"/>
        <v>192.58320941491459</v>
      </c>
      <c r="E225" s="4">
        <f t="shared" si="19"/>
        <v>178.90723705295562</v>
      </c>
    </row>
    <row r="226" spans="1:5" x14ac:dyDescent="0.4">
      <c r="A226">
        <v>82</v>
      </c>
      <c r="B226" s="4">
        <f t="shared" si="17"/>
        <v>2.7858235994642304</v>
      </c>
      <c r="C226" s="4">
        <f t="shared" si="18"/>
        <v>4.388445709992121</v>
      </c>
      <c r="D226" s="4">
        <f t="shared" si="16"/>
        <v>192.55654581501508</v>
      </c>
      <c r="E226" s="4">
        <f t="shared" si="19"/>
        <v>178.90944915414607</v>
      </c>
    </row>
    <row r="227" spans="1:5" x14ac:dyDescent="0.4">
      <c r="A227">
        <v>82.25</v>
      </c>
      <c r="B227" s="4">
        <f t="shared" si="17"/>
        <v>2.7840841695371306</v>
      </c>
      <c r="C227" s="4">
        <f t="shared" si="18"/>
        <v>4.3792097482994699</v>
      </c>
      <c r="D227" s="4">
        <f t="shared" si="16"/>
        <v>192.52990613078524</v>
      </c>
      <c r="E227" s="4">
        <f t="shared" si="19"/>
        <v>178.91153127036799</v>
      </c>
    </row>
    <row r="228" spans="1:5" x14ac:dyDescent="0.4">
      <c r="A228">
        <v>82.5</v>
      </c>
      <c r="B228" s="4">
        <f t="shared" si="17"/>
        <v>2.7823500198166919</v>
      </c>
      <c r="C228" s="4">
        <f t="shared" si="18"/>
        <v>4.3700228627846887</v>
      </c>
      <c r="D228" s="4">
        <f t="shared" si="16"/>
        <v>192.50329043214788</v>
      </c>
      <c r="E228" s="4">
        <f t="shared" si="19"/>
        <v>178.9134847561111</v>
      </c>
    </row>
    <row r="229" spans="1:5" x14ac:dyDescent="0.4">
      <c r="A229">
        <v>82.75</v>
      </c>
      <c r="B229" s="4">
        <f t="shared" si="17"/>
        <v>2.7806211176767257</v>
      </c>
      <c r="C229" s="4">
        <f t="shared" si="18"/>
        <v>4.3608846450643908</v>
      </c>
      <c r="D229" s="4">
        <f t="shared" si="16"/>
        <v>192.47669878681486</v>
      </c>
      <c r="E229" s="4">
        <f t="shared" si="19"/>
        <v>178.91531094906946</v>
      </c>
    </row>
    <row r="230" spans="1:5" x14ac:dyDescent="0.4">
      <c r="A230">
        <v>83</v>
      </c>
      <c r="B230" s="4">
        <f t="shared" si="17"/>
        <v>2.7788974307911349</v>
      </c>
      <c r="C230" s="4">
        <f t="shared" si="18"/>
        <v>4.3517946913779246</v>
      </c>
      <c r="D230" s="4">
        <f t="shared" si="16"/>
        <v>192.45013126033044</v>
      </c>
      <c r="E230" s="4">
        <f t="shared" si="19"/>
        <v>178.91701117039369</v>
      </c>
    </row>
    <row r="231" spans="1:5" x14ac:dyDescent="0.4">
      <c r="A231">
        <v>83.25</v>
      </c>
      <c r="B231" s="4">
        <f t="shared" si="17"/>
        <v>2.7771789271302554</v>
      </c>
      <c r="C231" s="4">
        <f t="shared" si="18"/>
        <v>4.3427526025213004</v>
      </c>
      <c r="D231" s="4">
        <f t="shared" si="16"/>
        <v>192.42358791611395</v>
      </c>
      <c r="E231" s="4">
        <f t="shared" si="19"/>
        <v>178.91858672493933</v>
      </c>
    </row>
    <row r="232" spans="1:5" x14ac:dyDescent="0.4">
      <c r="A232">
        <v>83.5</v>
      </c>
      <c r="B232" s="4">
        <f t="shared" si="17"/>
        <v>2.7754655749572517</v>
      </c>
      <c r="C232" s="4">
        <f t="shared" si="18"/>
        <v>4.3337579837822346</v>
      </c>
      <c r="D232" s="4">
        <f t="shared" si="16"/>
        <v>192.3970688155016</v>
      </c>
      <c r="E232" s="4">
        <f t="shared" si="19"/>
        <v>178.92003890151065</v>
      </c>
    </row>
    <row r="233" spans="1:5" x14ac:dyDescent="0.4">
      <c r="A233">
        <v>83.75</v>
      </c>
      <c r="B233" s="4">
        <f t="shared" si="17"/>
        <v>2.7737573428245677</v>
      </c>
      <c r="C233" s="4">
        <f t="shared" si="18"/>
        <v>4.3248104448763138</v>
      </c>
      <c r="D233" s="4">
        <f t="shared" si="16"/>
        <v>192.37057401778742</v>
      </c>
      <c r="E233" s="4">
        <f t="shared" si="19"/>
        <v>178.92136897309999</v>
      </c>
    </row>
    <row r="234" spans="1:5" x14ac:dyDescent="0.4">
      <c r="A234">
        <v>84</v>
      </c>
      <c r="B234" s="4">
        <f t="shared" si="17"/>
        <v>2.7720541995704346</v>
      </c>
      <c r="C234" s="4">
        <f t="shared" si="18"/>
        <v>4.3159095998842654</v>
      </c>
      <c r="D234" s="4">
        <f t="shared" si="16"/>
        <v>192.34410358026318</v>
      </c>
      <c r="E234" s="4">
        <f t="shared" si="19"/>
        <v>178.9225781971227</v>
      </c>
    </row>
    <row r="235" spans="1:5" x14ac:dyDescent="0.4">
      <c r="A235">
        <v>84.25</v>
      </c>
      <c r="B235" s="4">
        <f t="shared" si="17"/>
        <v>2.7703561143154269</v>
      </c>
      <c r="C235" s="4">
        <f t="shared" si="18"/>
        <v>4.3070550671903121</v>
      </c>
      <c r="D235" s="4">
        <f t="shared" si="16"/>
        <v>192.31765755825793</v>
      </c>
      <c r="E235" s="4">
        <f t="shared" si="19"/>
        <v>178.92366781564874</v>
      </c>
    </row>
    <row r="236" spans="1:5" x14ac:dyDescent="0.4">
      <c r="A236">
        <v>84.5</v>
      </c>
      <c r="B236" s="4">
        <f t="shared" si="17"/>
        <v>2.7686630564590682</v>
      </c>
      <c r="C236" s="4">
        <f t="shared" si="18"/>
        <v>4.2982464694215201</v>
      </c>
      <c r="D236" s="4">
        <f t="shared" si="16"/>
        <v>192.29123600517633</v>
      </c>
      <c r="E236" s="4">
        <f t="shared" si="19"/>
        <v>178.92463905562906</v>
      </c>
    </row>
    <row r="237" spans="1:5" x14ac:dyDescent="0.4">
      <c r="A237">
        <v>84.75</v>
      </c>
      <c r="B237" s="4">
        <f t="shared" si="17"/>
        <v>2.766974995676494</v>
      </c>
      <c r="C237" s="4">
        <f t="shared" si="18"/>
        <v>4.289483433388245</v>
      </c>
      <c r="D237" s="4">
        <f t="shared" si="16"/>
        <v>192.26483897253624</v>
      </c>
      <c r="E237" s="4">
        <f t="shared" si="19"/>
        <v>178.92549312911896</v>
      </c>
    </row>
    <row r="238" spans="1:5" x14ac:dyDescent="0.4">
      <c r="A238">
        <v>85</v>
      </c>
      <c r="B238" s="4">
        <f t="shared" si="17"/>
        <v>2.7652919019151612</v>
      </c>
      <c r="C238" s="4">
        <f t="shared" si="18"/>
        <v>4.280765590025557</v>
      </c>
      <c r="D238" s="4">
        <f t="shared" si="16"/>
        <v>192.23846651000596</v>
      </c>
      <c r="E238" s="4">
        <f t="shared" si="19"/>
        <v>178.92623123349719</v>
      </c>
    </row>
    <row r="239" spans="1:5" x14ac:dyDescent="0.4">
      <c r="A239">
        <v>85.25</v>
      </c>
      <c r="B239" s="4">
        <f t="shared" si="17"/>
        <v>2.7636137453916034</v>
      </c>
      <c r="C239" s="4">
        <f t="shared" si="18"/>
        <v>4.2720925743356553</v>
      </c>
      <c r="D239" s="4">
        <f t="shared" si="16"/>
        <v>192.21211866544027</v>
      </c>
      <c r="E239" s="4">
        <f t="shared" si="19"/>
        <v>178.92685455168095</v>
      </c>
    </row>
    <row r="240" spans="1:5" x14ac:dyDescent="0.4">
      <c r="A240">
        <v>85.5</v>
      </c>
      <c r="B240" s="4">
        <f t="shared" si="17"/>
        <v>2.7619404965882413</v>
      </c>
      <c r="C240" s="4">
        <f t="shared" si="18"/>
        <v>4.2634640253312677</v>
      </c>
      <c r="D240" s="4">
        <f t="shared" si="16"/>
        <v>192.18579548491576</v>
      </c>
      <c r="E240" s="4">
        <f t="shared" si="19"/>
        <v>178.92736425233753</v>
      </c>
    </row>
    <row r="241" spans="1:6" x14ac:dyDescent="0.4">
      <c r="A241">
        <v>85.75</v>
      </c>
      <c r="B241" s="4">
        <f t="shared" si="17"/>
        <v>2.7602721262502325</v>
      </c>
      <c r="C241" s="4">
        <f t="shared" si="18"/>
        <v>4.2548795859799693</v>
      </c>
      <c r="D241" s="4">
        <f t="shared" si="16"/>
        <v>192.15949701276611</v>
      </c>
      <c r="E241" s="4">
        <f t="shared" si="19"/>
        <v>178.92776149009259</v>
      </c>
    </row>
    <row r="242" spans="1:6" x14ac:dyDescent="0.4">
      <c r="A242">
        <v>86</v>
      </c>
      <c r="B242" s="4">
        <f t="shared" si="17"/>
        <v>2.7586086053823728</v>
      </c>
      <c r="C242" s="4">
        <f t="shared" si="18"/>
        <v>4.2463389031494723</v>
      </c>
      <c r="D242" s="4">
        <f t="shared" si="16"/>
        <v>192.13322329161562</v>
      </c>
      <c r="E242" s="4">
        <f t="shared" si="19"/>
        <v>178.92804740573382</v>
      </c>
    </row>
    <row r="243" spans="1:6" x14ac:dyDescent="0.4">
      <c r="A243">
        <v>86.25</v>
      </c>
      <c r="B243" s="4">
        <f t="shared" si="17"/>
        <v>2.7569499052460387</v>
      </c>
      <c r="C243" s="4">
        <f t="shared" si="18"/>
        <v>4.2378416275537925</v>
      </c>
      <c r="D243" s="4">
        <f t="shared" si="16"/>
        <v>192.10697436241279</v>
      </c>
      <c r="E243" s="4">
        <f t="shared" si="19"/>
        <v>178.92822312641198</v>
      </c>
    </row>
    <row r="244" spans="1:6" x14ac:dyDescent="0.4">
      <c r="A244" s="3">
        <v>86.5</v>
      </c>
      <c r="B244" s="5">
        <f t="shared" si="17"/>
        <v>2.7552959973561824</v>
      </c>
      <c r="C244" s="5">
        <f>1/B244*(2/($B$9+1)*(1 + ($B$9-1)/2*B244^2))^(($B$9+1)/(2*$B$9-2))</f>
        <v>4.2293874137003593</v>
      </c>
      <c r="D244" s="5">
        <f t="shared" si="16"/>
        <v>192.08075026446326</v>
      </c>
      <c r="E244" s="5">
        <f t="shared" si="19"/>
        <v>178.92828976583829</v>
      </c>
      <c r="F244" s="2" t="s">
        <v>62</v>
      </c>
    </row>
    <row r="245" spans="1:6" x14ac:dyDescent="0.4">
      <c r="A245">
        <v>86.75</v>
      </c>
      <c r="B245" s="4">
        <f t="shared" si="17"/>
        <v>2.7536468534783611</v>
      </c>
      <c r="C245" s="4">
        <f t="shared" si="18"/>
        <v>4.22097591983795</v>
      </c>
      <c r="D245" s="4">
        <f t="shared" si="16"/>
        <v>192.05455103546183</v>
      </c>
      <c r="E245" s="4">
        <f t="shared" si="19"/>
        <v>178.92824842447831</v>
      </c>
    </row>
    <row r="246" spans="1:6" x14ac:dyDescent="0.4">
      <c r="A246">
        <v>87</v>
      </c>
      <c r="B246" s="4">
        <f t="shared" si="17"/>
        <v>2.752002445625815</v>
      </c>
      <c r="C246" s="4">
        <f t="shared" si="18"/>
        <v>4.2126068079055337</v>
      </c>
      <c r="D246" s="4">
        <f t="shared" si="16"/>
        <v>192.02837671152369</v>
      </c>
      <c r="E246" s="4">
        <f t="shared" si="19"/>
        <v>178.92810018974239</v>
      </c>
    </row>
    <row r="247" spans="1:6" x14ac:dyDescent="0.4">
      <c r="A247">
        <v>87.25</v>
      </c>
      <c r="B247" s="4">
        <f t="shared" si="17"/>
        <v>2.7503627460565903</v>
      </c>
      <c r="C247" s="4">
        <f t="shared" si="18"/>
        <v>4.2042797434819255</v>
      </c>
      <c r="D247" s="4">
        <f t="shared" si="16"/>
        <v>192.00222732721559</v>
      </c>
      <c r="E247" s="4">
        <f t="shared" si="19"/>
        <v>178.92784613617326</v>
      </c>
    </row>
    <row r="248" spans="1:6" x14ac:dyDescent="0.4">
      <c r="A248">
        <v>87.5</v>
      </c>
      <c r="B248" s="4">
        <f t="shared" si="17"/>
        <v>2.7487277272706914</v>
      </c>
      <c r="C248" s="4">
        <f t="shared" si="18"/>
        <v>4.1959943957362711</v>
      </c>
      <c r="D248" s="4">
        <f t="shared" si="16"/>
        <v>191.97610291558576</v>
      </c>
      <c r="E248" s="4">
        <f t="shared" si="19"/>
        <v>178.92748732563001</v>
      </c>
    </row>
    <row r="249" spans="1:6" x14ac:dyDescent="0.4">
      <c r="A249">
        <v>87.75</v>
      </c>
      <c r="B249" s="4">
        <f t="shared" si="17"/>
        <v>2.747097362007294</v>
      </c>
      <c r="C249" s="4">
        <f t="shared" si="18"/>
        <v>4.1877504373794006</v>
      </c>
      <c r="D249" s="4">
        <f t="shared" si="16"/>
        <v>191.9500035081937</v>
      </c>
      <c r="E249" s="4">
        <f t="shared" si="19"/>
        <v>178.92702480746922</v>
      </c>
    </row>
    <row r="250" spans="1:6" x14ac:dyDescent="0.4">
      <c r="A250">
        <v>88</v>
      </c>
      <c r="B250" s="4">
        <f t="shared" si="17"/>
        <v>2.7454716232419796</v>
      </c>
      <c r="C250" s="4">
        <f t="shared" si="18"/>
        <v>4.1795475446158736</v>
      </c>
      <c r="D250" s="4">
        <f t="shared" si="16"/>
        <v>191.92392913513939</v>
      </c>
      <c r="E250" s="4">
        <f t="shared" si="19"/>
        <v>178.92645961872304</v>
      </c>
    </row>
    <row r="251" spans="1:6" x14ac:dyDescent="0.4">
      <c r="A251">
        <v>88.25</v>
      </c>
      <c r="B251" s="4">
        <f t="shared" si="17"/>
        <v>2.7438504841840183</v>
      </c>
      <c r="C251" s="4">
        <f t="shared" si="18"/>
        <v>4.1713853970969206</v>
      </c>
      <c r="D251" s="4">
        <f t="shared" si="16"/>
        <v>191.89787982509145</v>
      </c>
      <c r="E251" s="4">
        <f t="shared" si="19"/>
        <v>178.92579278427414</v>
      </c>
    </row>
    <row r="252" spans="1:6" x14ac:dyDescent="0.4">
      <c r="A252">
        <v>88.5</v>
      </c>
      <c r="B252" s="4">
        <f t="shared" si="17"/>
        <v>2.7422339182736932</v>
      </c>
      <c r="C252" s="4">
        <f t="shared" si="18"/>
        <v>4.1632636778740588</v>
      </c>
      <c r="D252" s="4">
        <f t="shared" si="16"/>
        <v>191.87185560531529</v>
      </c>
      <c r="E252" s="4">
        <f t="shared" si="19"/>
        <v>178.92502531702755</v>
      </c>
    </row>
    <row r="253" spans="1:6" x14ac:dyDescent="0.4">
      <c r="A253">
        <v>88.75</v>
      </c>
      <c r="B253" s="4">
        <f t="shared" si="17"/>
        <v>2.7406218991796556</v>
      </c>
      <c r="C253" s="4">
        <f t="shared" si="18"/>
        <v>4.155182073353525</v>
      </c>
      <c r="D253" s="4">
        <f t="shared" si="16"/>
        <v>191.84585650170041</v>
      </c>
      <c r="E253" s="4">
        <f t="shared" si="19"/>
        <v>178.92415821808018</v>
      </c>
    </row>
    <row r="254" spans="1:6" x14ac:dyDescent="0.4">
      <c r="A254">
        <v>89</v>
      </c>
      <c r="B254" s="4">
        <f t="shared" si="17"/>
        <v>2.7390144007963233</v>
      </c>
      <c r="C254" s="4">
        <f t="shared" si="18"/>
        <v>4.1471402732514075</v>
      </c>
      <c r="D254" s="4">
        <f t="shared" si="16"/>
        <v>191.81988253878737</v>
      </c>
      <c r="E254" s="4">
        <f t="shared" si="19"/>
        <v>178.92319247688701</v>
      </c>
    </row>
    <row r="255" spans="1:6" x14ac:dyDescent="0.4">
      <c r="A255">
        <v>89.25</v>
      </c>
      <c r="B255" s="4">
        <f t="shared" si="17"/>
        <v>2.7374113972413121</v>
      </c>
      <c r="C255" s="4">
        <f t="shared" si="18"/>
        <v>4.1391379705495073</v>
      </c>
      <c r="D255" s="4">
        <f t="shared" si="16"/>
        <v>191.79393373979377</v>
      </c>
      <c r="E255" s="4">
        <f t="shared" si="19"/>
        <v>178.92212907142437</v>
      </c>
    </row>
    <row r="256" spans="1:6" x14ac:dyDescent="0.4">
      <c r="A256">
        <v>89.5</v>
      </c>
      <c r="B256" s="4">
        <f t="shared" si="17"/>
        <v>2.7358128628529084</v>
      </c>
      <c r="C256" s="4">
        <f t="shared" si="18"/>
        <v>4.1311748614519512</v>
      </c>
      <c r="D256" s="4">
        <f t="shared" si="16"/>
        <v>191.76801012664072</v>
      </c>
      <c r="E256" s="4">
        <f t="shared" si="19"/>
        <v>178.92096896835139</v>
      </c>
    </row>
    <row r="257" spans="1:5" x14ac:dyDescent="0.4">
      <c r="A257">
        <v>89.75</v>
      </c>
      <c r="B257" s="4">
        <f t="shared" si="17"/>
        <v>2.7342187721875719</v>
      </c>
      <c r="C257" s="4">
        <f t="shared" si="18"/>
        <v>4.1232506453424245</v>
      </c>
      <c r="D257" s="4">
        <f t="shared" si="16"/>
        <v>191.74211171997732</v>
      </c>
      <c r="E257" s="4">
        <f t="shared" si="19"/>
        <v>178.91971312316758</v>
      </c>
    </row>
    <row r="258" spans="1:5" x14ac:dyDescent="0.4">
      <c r="A258">
        <v>90</v>
      </c>
      <c r="B258" s="4">
        <f t="shared" si="17"/>
        <v>2.7326291000174772</v>
      </c>
      <c r="C258" s="4">
        <f t="shared" si="18"/>
        <v>4.1153650247421503</v>
      </c>
      <c r="D258" s="4">
        <f t="shared" si="16"/>
        <v>191.71623853920613</v>
      </c>
      <c r="E258" s="4">
        <f t="shared" si="19"/>
        <v>178.91836248036878</v>
      </c>
    </row>
    <row r="259" spans="1:5" x14ac:dyDescent="0.4">
      <c r="A259">
        <v>90.25</v>
      </c>
      <c r="B259" s="4">
        <f t="shared" si="17"/>
        <v>2.7310438213280892</v>
      </c>
      <c r="C259" s="4">
        <f t="shared" si="18"/>
        <v>4.1075177052685321</v>
      </c>
      <c r="D259" s="4">
        <f t="shared" si="16"/>
        <v>191.69039060250728</v>
      </c>
      <c r="E259" s="4">
        <f t="shared" si="19"/>
        <v>178.91691797359985</v>
      </c>
    </row>
    <row r="260" spans="1:5" x14ac:dyDescent="0.4">
      <c r="A260">
        <v>90.5</v>
      </c>
      <c r="B260" s="4">
        <f t="shared" si="17"/>
        <v>2.7294629113157711</v>
      </c>
      <c r="C260" s="4">
        <f t="shared" si="18"/>
        <v>4.0997083955944182</v>
      </c>
      <c r="D260" s="4">
        <f t="shared" si="16"/>
        <v>191.6645679268623</v>
      </c>
      <c r="E260" s="4">
        <f t="shared" si="19"/>
        <v>178.91538052580552</v>
      </c>
    </row>
    <row r="261" spans="1:5" x14ac:dyDescent="0.4">
      <c r="A261">
        <v>90.75</v>
      </c>
      <c r="B261" s="4">
        <f t="shared" si="17"/>
        <v>2.7278863453854258</v>
      </c>
      <c r="C261" s="4">
        <f t="shared" si="18"/>
        <v>4.0919368074080609</v>
      </c>
      <c r="D261" s="4">
        <f t="shared" si="16"/>
        <v>191.63877052807766</v>
      </c>
      <c r="E261" s="4">
        <f t="shared" si="19"/>
        <v>178.91375104937802</v>
      </c>
    </row>
    <row r="262" spans="1:5" x14ac:dyDescent="0.4">
      <c r="A262">
        <v>91</v>
      </c>
      <c r="B262" s="4">
        <f t="shared" si="17"/>
        <v>2.7263140991481731</v>
      </c>
      <c r="C262" s="4">
        <f t="shared" si="18"/>
        <v>4.084202655373665</v>
      </c>
      <c r="D262" s="4">
        <f t="shared" si="16"/>
        <v>191.61299842080751</v>
      </c>
      <c r="E262" s="4">
        <f t="shared" si="19"/>
        <v>178.91203044630282</v>
      </c>
    </row>
    <row r="263" spans="1:5" x14ac:dyDescent="0.4">
      <c r="A263">
        <v>91.25</v>
      </c>
      <c r="B263" s="4">
        <f t="shared" si="17"/>
        <v>2.7247461484190572</v>
      </c>
      <c r="C263" s="4">
        <f t="shared" si="18"/>
        <v>4.0765056570926017</v>
      </c>
      <c r="D263" s="4">
        <f t="shared" si="16"/>
        <v>191.58725161857652</v>
      </c>
      <c r="E263" s="4">
        <f t="shared" si="19"/>
        <v>178.91021960830199</v>
      </c>
    </row>
    <row r="264" spans="1:5" x14ac:dyDescent="0.4">
      <c r="A264">
        <v>91.5</v>
      </c>
      <c r="B264" s="4">
        <f t="shared" si="17"/>
        <v>2.7231824692147804</v>
      </c>
      <c r="C264" s="4">
        <f t="shared" si="18"/>
        <v>4.0688455330651898</v>
      </c>
      <c r="D264" s="4">
        <f t="shared" si="16"/>
        <v>191.5615301338018</v>
      </c>
      <c r="E264" s="4">
        <f t="shared" si="19"/>
        <v>178.90831941697482</v>
      </c>
    </row>
    <row r="265" spans="1:5" x14ac:dyDescent="0.4">
      <c r="A265">
        <v>91.75</v>
      </c>
      <c r="B265" s="4">
        <f t="shared" si="17"/>
        <v>2.7216230377514821</v>
      </c>
      <c r="C265" s="4">
        <f t="shared" si="18"/>
        <v>4.0612220066531215</v>
      </c>
      <c r="D265" s="4">
        <f t="shared" si="16"/>
        <v>191.53583397781443</v>
      </c>
      <c r="E265" s="4">
        <f t="shared" si="19"/>
        <v>178.90633074393642</v>
      </c>
    </row>
    <row r="266" spans="1:5" x14ac:dyDescent="0.4">
      <c r="A266">
        <v>92</v>
      </c>
      <c r="B266" s="4">
        <f t="shared" si="17"/>
        <v>2.7200678304425301</v>
      </c>
      <c r="C266" s="4">
        <f t="shared" si="18"/>
        <v>4.0536348040424199</v>
      </c>
      <c r="D266" s="4">
        <f t="shared" si="16"/>
        <v>191.51016316088098</v>
      </c>
      <c r="E266" s="4">
        <f t="shared" si="19"/>
        <v>178.90425445095437</v>
      </c>
    </row>
    <row r="267" spans="1:5" x14ac:dyDescent="0.4">
      <c r="A267">
        <v>92.25</v>
      </c>
      <c r="B267" s="4">
        <f t="shared" si="17"/>
        <v>2.7185168238963593</v>
      </c>
      <c r="C267" s="4">
        <f t="shared" si="18"/>
        <v>4.0460836542070506</v>
      </c>
      <c r="D267" s="4">
        <f t="shared" si="16"/>
        <v>191.48451769222422</v>
      </c>
      <c r="E267" s="4">
        <f t="shared" si="19"/>
        <v>178.90209139008255</v>
      </c>
    </row>
    <row r="268" spans="1:5" x14ac:dyDescent="0.4">
      <c r="A268">
        <v>92.5</v>
      </c>
      <c r="B268" s="4">
        <f t="shared" si="17"/>
        <v>2.7169699949143276</v>
      </c>
      <c r="C268" s="4">
        <f t="shared" si="18"/>
        <v>4.0385682888730248</v>
      </c>
      <c r="D268" s="4">
        <f t="shared" si="16"/>
        <v>191.45889758004355</v>
      </c>
      <c r="E268" s="4">
        <f t="shared" si="19"/>
        <v>178.89984240379314</v>
      </c>
    </row>
    <row r="269" spans="1:5" x14ac:dyDescent="0.4">
      <c r="A269">
        <v>92.75</v>
      </c>
      <c r="B269" s="4">
        <f t="shared" si="17"/>
        <v>2.7154273204886086</v>
      </c>
      <c r="C269" s="4">
        <f t="shared" si="18"/>
        <v>4.0310884424831039</v>
      </c>
      <c r="D269" s="4">
        <f t="shared" si="16"/>
        <v>191.43330283153512</v>
      </c>
      <c r="E269" s="4">
        <f t="shared" si="19"/>
        <v>178.89750832510666</v>
      </c>
    </row>
    <row r="270" spans="1:5" x14ac:dyDescent="0.4">
      <c r="A270">
        <v>93</v>
      </c>
      <c r="B270" s="4">
        <f t="shared" si="17"/>
        <v>2.7138887778001077</v>
      </c>
      <c r="C270" s="4">
        <f t="shared" si="18"/>
        <v>4.0236438521620546</v>
      </c>
      <c r="D270" s="4">
        <f t="shared" si="16"/>
        <v>191.40773345291154</v>
      </c>
      <c r="E270" s="4">
        <f t="shared" si="19"/>
        <v>178.89508997771964</v>
      </c>
    </row>
    <row r="271" spans="1:5" x14ac:dyDescent="0.4">
      <c r="A271">
        <v>93.25</v>
      </c>
      <c r="B271" s="4">
        <f t="shared" si="17"/>
        <v>2.7123543442164126</v>
      </c>
      <c r="C271" s="4">
        <f t="shared" si="18"/>
        <v>4.0162342576823944</v>
      </c>
      <c r="D271" s="4">
        <f t="shared" ref="D271:D318" si="20">$B$6*$B$12/9.81*($B$9*SQRT(2/($B$9-1)*(2/($B$9+1))^(($B$9+1)/($B$9-1))*(1 - (A271/$B$3)^(($B$9-1)/$B$9))) + C271/$B$3*(A271 - $E$5))</f>
        <v>191.38218944942108</v>
      </c>
      <c r="E271" s="4">
        <f t="shared" si="19"/>
        <v>178.89258817613029</v>
      </c>
    </row>
    <row r="272" spans="1:5" x14ac:dyDescent="0.4">
      <c r="A272">
        <v>93.5</v>
      </c>
      <c r="B272" s="4">
        <f t="shared" ref="B272:B318" si="21">SQRT(2/($B$9-1)*((A272/$B$3)^((1-$B$9)/$B$9) - 1))</f>
        <v>2.7108239972897628</v>
      </c>
      <c r="C272" s="4">
        <f t="shared" ref="C272:C318" si="22">1/B272*(2/($B$9+1)*(1 + ($B$9-1)/2*B272^2))^(($B$9+1)/(2*$B$9-2))</f>
        <v>4.0088594014307217</v>
      </c>
      <c r="D272" s="4">
        <f t="shared" si="20"/>
        <v>191.35667082536668</v>
      </c>
      <c r="E272" s="4">
        <f t="shared" ref="E272:E318" si="23">$B$6*$B$12/9.81*($B$9*SQRT(2/($B$9-1)*(2/($B$9+1))^(($B$9+1)/($B$9-1))*(1 - (A272/$B$3)^(($B$9-1)/$B$9))) + C272/$B$3*(A272 - $E$4))</f>
        <v>178.89000372576234</v>
      </c>
    </row>
    <row r="273" spans="1:5" x14ac:dyDescent="0.4">
      <c r="A273">
        <v>93.75</v>
      </c>
      <c r="B273" s="4">
        <f t="shared" si="21"/>
        <v>2.7092977147550563</v>
      </c>
      <c r="C273" s="4">
        <f t="shared" si="22"/>
        <v>4.0015190283745339</v>
      </c>
      <c r="D273" s="4">
        <f t="shared" si="20"/>
        <v>191.33117758412448</v>
      </c>
      <c r="E273" s="4">
        <f t="shared" si="23"/>
        <v>178.88733742308671</v>
      </c>
    </row>
    <row r="274" spans="1:5" x14ac:dyDescent="0.4">
      <c r="A274">
        <v>94</v>
      </c>
      <c r="B274" s="4">
        <f t="shared" si="21"/>
        <v>2.7077754745278755</v>
      </c>
      <c r="C274" s="4">
        <f t="shared" si="22"/>
        <v>3.9942128860295463</v>
      </c>
      <c r="D274" s="4">
        <f t="shared" si="20"/>
        <v>191.30570972816221</v>
      </c>
      <c r="E274" s="4">
        <f t="shared" si="23"/>
        <v>178.8845900557414</v>
      </c>
    </row>
    <row r="275" spans="1:5" x14ac:dyDescent="0.4">
      <c r="A275">
        <v>94.25</v>
      </c>
      <c r="B275" s="4">
        <f t="shared" si="21"/>
        <v>2.7062572547025439</v>
      </c>
      <c r="C275" s="4">
        <f t="shared" si="22"/>
        <v>3.9869407244275319</v>
      </c>
      <c r="D275" s="4">
        <f t="shared" si="20"/>
        <v>191.2802672590569</v>
      </c>
      <c r="E275" s="4">
        <f t="shared" si="23"/>
        <v>178.88176240264946</v>
      </c>
    </row>
    <row r="276" spans="1:5" x14ac:dyDescent="0.4">
      <c r="A276">
        <v>94.5</v>
      </c>
      <c r="B276" s="4">
        <f t="shared" si="21"/>
        <v>2.704743033550209</v>
      </c>
      <c r="C276" s="4">
        <f t="shared" si="22"/>
        <v>3.979702296084652</v>
      </c>
      <c r="D276" s="4">
        <f t="shared" si="20"/>
        <v>191.25485017751257</v>
      </c>
      <c r="E276" s="4">
        <f t="shared" si="23"/>
        <v>178.87885523413496</v>
      </c>
    </row>
    <row r="277" spans="1:5" x14ac:dyDescent="0.4">
      <c r="A277">
        <v>94.75</v>
      </c>
      <c r="B277" s="4">
        <f t="shared" si="21"/>
        <v>2.7032327895169441</v>
      </c>
      <c r="C277" s="4">
        <f t="shared" si="22"/>
        <v>3.9724973559702255</v>
      </c>
      <c r="D277" s="4">
        <f t="shared" si="20"/>
        <v>191.2294584833773</v>
      </c>
      <c r="E277" s="4">
        <f t="shared" si="23"/>
        <v>178.87586931203728</v>
      </c>
    </row>
    <row r="278" spans="1:5" x14ac:dyDescent="0.4">
      <c r="A278">
        <v>95</v>
      </c>
      <c r="B278" s="4">
        <f t="shared" si="21"/>
        <v>2.7017265012218861</v>
      </c>
      <c r="C278" s="4">
        <f t="shared" si="22"/>
        <v>3.9653256614760322</v>
      </c>
      <c r="D278" s="4">
        <f t="shared" si="20"/>
        <v>191.20409217566029</v>
      </c>
      <c r="E278" s="4">
        <f t="shared" si="23"/>
        <v>178.87280538982353</v>
      </c>
    </row>
    <row r="279" spans="1:5" x14ac:dyDescent="0.4">
      <c r="A279">
        <v>95.25</v>
      </c>
      <c r="B279" s="4">
        <f t="shared" si="21"/>
        <v>2.7002241474553896</v>
      </c>
      <c r="C279" s="4">
        <f t="shared" si="22"/>
        <v>3.9581869723860406</v>
      </c>
      <c r="D279" s="4">
        <f t="shared" si="20"/>
        <v>191.17875125254832</v>
      </c>
      <c r="E279" s="4">
        <f t="shared" si="23"/>
        <v>178.86966421269935</v>
      </c>
    </row>
    <row r="280" spans="1:5" x14ac:dyDescent="0.4">
      <c r="A280">
        <v>95.5</v>
      </c>
      <c r="B280" s="4">
        <f t="shared" si="21"/>
        <v>2.6987257071772106</v>
      </c>
      <c r="C280" s="4">
        <f t="shared" si="22"/>
        <v>3.9510810508466219</v>
      </c>
      <c r="D280" s="4">
        <f t="shared" si="20"/>
        <v>191.15343571142216</v>
      </c>
      <c r="E280" s="4">
        <f t="shared" si="23"/>
        <v>178.86644651771772</v>
      </c>
    </row>
    <row r="281" spans="1:5" x14ac:dyDescent="0.4">
      <c r="A281">
        <v>95.75</v>
      </c>
      <c r="B281" s="4">
        <f t="shared" si="21"/>
        <v>2.697231159514708</v>
      </c>
      <c r="C281" s="4">
        <f t="shared" si="22"/>
        <v>3.9440076613371557</v>
      </c>
      <c r="D281" s="4">
        <f t="shared" si="20"/>
        <v>191.12814554887242</v>
      </c>
      <c r="E281" s="4">
        <f t="shared" si="23"/>
        <v>178.86315303388633</v>
      </c>
    </row>
    <row r="282" spans="1:5" x14ac:dyDescent="0.4">
      <c r="A282">
        <v>96</v>
      </c>
      <c r="B282" s="4">
        <f t="shared" si="21"/>
        <v>2.6957404837610768</v>
      </c>
      <c r="C282" s="4">
        <f t="shared" si="22"/>
        <v>3.9369665706411525</v>
      </c>
      <c r="D282" s="4">
        <f t="shared" si="20"/>
        <v>191.10288076071518</v>
      </c>
      <c r="E282" s="4">
        <f t="shared" si="23"/>
        <v>178.85978448227306</v>
      </c>
    </row>
    <row r="283" spans="1:5" x14ac:dyDescent="0.4">
      <c r="A283">
        <v>96.25</v>
      </c>
      <c r="B283" s="4">
        <f t="shared" si="21"/>
        <v>2.6942536593735991</v>
      </c>
      <c r="C283" s="4">
        <f t="shared" si="22"/>
        <v>3.9299575478177475</v>
      </c>
      <c r="D283" s="4">
        <f t="shared" si="20"/>
        <v>191.0776413420075</v>
      </c>
      <c r="E283" s="4">
        <f t="shared" si="23"/>
        <v>178.85634157611003</v>
      </c>
    </row>
    <row r="284" spans="1:5" x14ac:dyDescent="0.4">
      <c r="A284">
        <v>96.5</v>
      </c>
      <c r="B284" s="4">
        <f t="shared" si="21"/>
        <v>2.6927706659719184</v>
      </c>
      <c r="C284" s="4">
        <f t="shared" si="22"/>
        <v>3.9229803641736583</v>
      </c>
      <c r="D284" s="4">
        <f t="shared" si="20"/>
        <v>191.05242728706261</v>
      </c>
      <c r="E284" s="4">
        <f t="shared" si="23"/>
        <v>178.85282502089601</v>
      </c>
    </row>
    <row r="285" spans="1:5" x14ac:dyDescent="0.4">
      <c r="A285">
        <v>96.75</v>
      </c>
      <c r="B285" s="4">
        <f t="shared" si="21"/>
        <v>2.6912914833363391</v>
      </c>
      <c r="C285" s="4">
        <f t="shared" si="22"/>
        <v>3.9160347932355339</v>
      </c>
      <c r="D285" s="4">
        <f t="shared" si="20"/>
        <v>191.0272385894643</v>
      </c>
      <c r="E285" s="4">
        <f t="shared" si="23"/>
        <v>178.84923551449691</v>
      </c>
    </row>
    <row r="286" spans="1:5" x14ac:dyDescent="0.4">
      <c r="A286">
        <v>97</v>
      </c>
      <c r="B286" s="4">
        <f t="shared" si="21"/>
        <v>2.6898160914061457</v>
      </c>
      <c r="C286" s="4">
        <f t="shared" si="22"/>
        <v>3.9091206107227312</v>
      </c>
      <c r="D286" s="4">
        <f t="shared" si="20"/>
        <v>191.00207524208199</v>
      </c>
      <c r="E286" s="4">
        <f t="shared" si="23"/>
        <v>178.8455737472454</v>
      </c>
    </row>
    <row r="287" spans="1:5" x14ac:dyDescent="0.4">
      <c r="A287">
        <v>97.25</v>
      </c>
      <c r="B287" s="4">
        <f t="shared" si="21"/>
        <v>2.6883444702779458</v>
      </c>
      <c r="C287" s="4">
        <f t="shared" si="22"/>
        <v>3.9022375945204897</v>
      </c>
      <c r="D287" s="4">
        <f t="shared" si="20"/>
        <v>190.97693723708454</v>
      </c>
      <c r="E287" s="4">
        <f t="shared" si="23"/>
        <v>178.8418404020382</v>
      </c>
    </row>
    <row r="288" spans="1:5" x14ac:dyDescent="0.4">
      <c r="A288">
        <v>97.5</v>
      </c>
      <c r="B288" s="4">
        <f t="shared" si="21"/>
        <v>2.6868766002040307</v>
      </c>
      <c r="C288" s="4">
        <f t="shared" si="22"/>
        <v>3.895385524653487</v>
      </c>
      <c r="D288" s="4">
        <f t="shared" si="20"/>
        <v>190.95182456595461</v>
      </c>
      <c r="E288" s="4">
        <f t="shared" si="23"/>
        <v>178.83803615443259</v>
      </c>
    </row>
    <row r="289" spans="1:5" x14ac:dyDescent="0.4">
      <c r="A289">
        <v>97.75</v>
      </c>
      <c r="B289" s="4">
        <f t="shared" si="21"/>
        <v>2.6854124615907651</v>
      </c>
      <c r="C289" s="4">
        <f t="shared" si="22"/>
        <v>3.8885641832598261</v>
      </c>
      <c r="D289" s="4">
        <f t="shared" si="20"/>
        <v>190.92673721950212</v>
      </c>
      <c r="E289" s="4">
        <f t="shared" si="23"/>
        <v>178.83416167274086</v>
      </c>
    </row>
    <row r="290" spans="1:5" x14ac:dyDescent="0.4">
      <c r="A290">
        <v>98</v>
      </c>
      <c r="B290" s="4">
        <f t="shared" si="21"/>
        <v>2.6839520349969863</v>
      </c>
      <c r="C290" s="4">
        <f t="shared" si="22"/>
        <v>3.8817733545653494</v>
      </c>
      <c r="D290" s="4">
        <f t="shared" si="20"/>
        <v>190.90167518787794</v>
      </c>
      <c r="E290" s="4">
        <f t="shared" si="23"/>
        <v>178.8302176181239</v>
      </c>
    </row>
    <row r="291" spans="1:5" x14ac:dyDescent="0.4">
      <c r="A291">
        <v>98.25</v>
      </c>
      <c r="B291" s="4">
        <f t="shared" si="21"/>
        <v>2.6824953011324371</v>
      </c>
      <c r="C291" s="4">
        <f t="shared" si="22"/>
        <v>3.8750128248583757</v>
      </c>
      <c r="D291" s="4">
        <f t="shared" si="20"/>
        <v>190.87663846058715</v>
      </c>
      <c r="E291" s="4">
        <f t="shared" si="23"/>
        <v>178.8262046446828</v>
      </c>
    </row>
    <row r="292" spans="1:5" x14ac:dyDescent="0.4">
      <c r="A292">
        <v>98.5</v>
      </c>
      <c r="B292" s="4">
        <f t="shared" si="21"/>
        <v>2.6810422408562053</v>
      </c>
      <c r="C292" s="4">
        <f t="shared" si="22"/>
        <v>3.8682823824647725</v>
      </c>
      <c r="D292" s="4">
        <f t="shared" si="20"/>
        <v>190.85162702650177</v>
      </c>
      <c r="E292" s="4">
        <f t="shared" si="23"/>
        <v>178.82212339954947</v>
      </c>
    </row>
    <row r="293" spans="1:5" x14ac:dyDescent="0.4">
      <c r="A293">
        <v>98.75</v>
      </c>
      <c r="B293" s="4">
        <f t="shared" si="21"/>
        <v>2.6795928351751965</v>
      </c>
      <c r="C293" s="4">
        <f t="shared" si="22"/>
        <v>3.8615818177234278</v>
      </c>
      <c r="D293" s="4">
        <f t="shared" si="20"/>
        <v>190.82664087387383</v>
      </c>
      <c r="E293" s="4">
        <f t="shared" si="23"/>
        <v>178.81797452297562</v>
      </c>
    </row>
    <row r="294" spans="1:5" x14ac:dyDescent="0.4">
      <c r="A294">
        <v>99</v>
      </c>
      <c r="B294" s="4">
        <f t="shared" si="21"/>
        <v>2.6781470652426145</v>
      </c>
      <c r="C294" s="4">
        <f t="shared" si="22"/>
        <v>3.8549109229620404</v>
      </c>
      <c r="D294" s="4">
        <f t="shared" si="20"/>
        <v>190.80167999034774</v>
      </c>
      <c r="E294" s="4">
        <f t="shared" si="23"/>
        <v>178.81375864842067</v>
      </c>
    </row>
    <row r="295" spans="1:5" x14ac:dyDescent="0.4">
      <c r="A295">
        <v>99.25</v>
      </c>
      <c r="B295" s="4">
        <f t="shared" si="21"/>
        <v>2.6767049123564686</v>
      </c>
      <c r="C295" s="4">
        <f t="shared" si="22"/>
        <v>3.8482694924732921</v>
      </c>
      <c r="D295" s="4">
        <f t="shared" si="20"/>
        <v>190.77674436297264</v>
      </c>
      <c r="E295" s="4">
        <f t="shared" si="23"/>
        <v>178.80947640263807</v>
      </c>
    </row>
    <row r="296" spans="1:5" x14ac:dyDescent="0.4">
      <c r="A296">
        <v>99.5</v>
      </c>
      <c r="B296" s="4">
        <f t="shared" si="21"/>
        <v>2.6752663579580975</v>
      </c>
      <c r="C296" s="4">
        <f t="shared" si="22"/>
        <v>3.8416573224913364</v>
      </c>
      <c r="D296" s="4">
        <f t="shared" si="20"/>
        <v>190.75183397821431</v>
      </c>
      <c r="E296" s="4">
        <f t="shared" si="23"/>
        <v>178.80512840576037</v>
      </c>
    </row>
    <row r="297" spans="1:5" x14ac:dyDescent="0.4">
      <c r="A297">
        <v>99.75</v>
      </c>
      <c r="B297" s="4">
        <f t="shared" si="21"/>
        <v>2.6738313836307128</v>
      </c>
      <c r="C297" s="4">
        <f t="shared" si="22"/>
        <v>3.8350742111686449</v>
      </c>
      <c r="D297" s="4">
        <f t="shared" si="20"/>
        <v>190.72694882196731</v>
      </c>
      <c r="E297" s="4">
        <f t="shared" si="23"/>
        <v>178.8007152713833</v>
      </c>
    </row>
    <row r="298" spans="1:5" x14ac:dyDescent="0.4">
      <c r="A298">
        <v>100</v>
      </c>
      <c r="B298" s="4">
        <f t="shared" si="21"/>
        <v>2.6723999710979602</v>
      </c>
      <c r="C298" s="4">
        <f t="shared" si="22"/>
        <v>3.8285199585532266</v>
      </c>
      <c r="D298" s="4">
        <f t="shared" si="20"/>
        <v>190.70208887956642</v>
      </c>
      <c r="E298" s="4">
        <f t="shared" si="23"/>
        <v>178.79623760664819</v>
      </c>
    </row>
    <row r="299" spans="1:5" x14ac:dyDescent="0.4">
      <c r="A299">
        <v>100.25</v>
      </c>
      <c r="B299" s="4">
        <f t="shared" si="21"/>
        <v>2.6709721022224984</v>
      </c>
      <c r="C299" s="4">
        <f t="shared" si="22"/>
        <v>3.8219943665660643</v>
      </c>
      <c r="D299" s="4">
        <f t="shared" si="20"/>
        <v>190.67725413579808</v>
      </c>
      <c r="E299" s="4">
        <f t="shared" si="23"/>
        <v>178.79169601232351</v>
      </c>
    </row>
    <row r="300" spans="1:5" x14ac:dyDescent="0.4">
      <c r="A300">
        <v>100.5</v>
      </c>
      <c r="B300" s="4">
        <f t="shared" si="21"/>
        <v>2.6695477590045944</v>
      </c>
      <c r="C300" s="4">
        <f t="shared" si="22"/>
        <v>3.8154972389789874</v>
      </c>
      <c r="D300" s="4">
        <f t="shared" si="20"/>
        <v>190.65244457491153</v>
      </c>
      <c r="E300" s="4">
        <f t="shared" si="23"/>
        <v>178.78709108288473</v>
      </c>
    </row>
    <row r="301" spans="1:5" x14ac:dyDescent="0.4">
      <c r="A301">
        <v>100.75</v>
      </c>
      <c r="B301" s="4">
        <f t="shared" si="21"/>
        <v>2.6681269235807421</v>
      </c>
      <c r="C301" s="4">
        <f t="shared" si="22"/>
        <v>3.8090283813928032</v>
      </c>
      <c r="D301" s="4">
        <f t="shared" si="20"/>
        <v>190.62766018063007</v>
      </c>
      <c r="E301" s="4">
        <f t="shared" si="23"/>
        <v>178.78242340659367</v>
      </c>
    </row>
    <row r="302" spans="1:5" x14ac:dyDescent="0.4">
      <c r="A302">
        <v>101</v>
      </c>
      <c r="B302" s="4">
        <f t="shared" si="21"/>
        <v>2.6667095782222932</v>
      </c>
      <c r="C302" s="4">
        <f t="shared" si="22"/>
        <v>3.8025876012157558</v>
      </c>
      <c r="D302" s="4">
        <f t="shared" si="20"/>
        <v>190.60290093616149</v>
      </c>
      <c r="E302" s="4">
        <f t="shared" si="23"/>
        <v>178.77769356557593</v>
      </c>
    </row>
    <row r="303" spans="1:5" x14ac:dyDescent="0.4">
      <c r="A303">
        <v>101.25</v>
      </c>
      <c r="B303" s="4">
        <f t="shared" si="21"/>
        <v>2.6652957053341049</v>
      </c>
      <c r="C303" s="4">
        <f t="shared" si="22"/>
        <v>3.7961747076422925</v>
      </c>
      <c r="D303" s="4">
        <f t="shared" si="20"/>
        <v>190.57816682420915</v>
      </c>
      <c r="E303" s="4">
        <f t="shared" si="23"/>
        <v>178.77290213589797</v>
      </c>
    </row>
    <row r="304" spans="1:5" x14ac:dyDescent="0.4">
      <c r="A304">
        <v>101.5</v>
      </c>
      <c r="B304" s="4">
        <f t="shared" si="21"/>
        <v>2.6638852874532093</v>
      </c>
      <c r="C304" s="4">
        <f t="shared" si="22"/>
        <v>3.7897895116321192</v>
      </c>
      <c r="D304" s="4">
        <f t="shared" si="20"/>
        <v>190.55345782698188</v>
      </c>
      <c r="E304" s="4">
        <f t="shared" si="23"/>
        <v>178.76804968764228</v>
      </c>
    </row>
    <row r="305" spans="1:5" x14ac:dyDescent="0.4">
      <c r="A305">
        <v>101.75</v>
      </c>
      <c r="B305" s="4">
        <f t="shared" si="21"/>
        <v>2.6624783072474925</v>
      </c>
      <c r="C305" s="4">
        <f t="shared" si="22"/>
        <v>3.7834318258895614</v>
      </c>
      <c r="D305" s="4">
        <f t="shared" si="20"/>
        <v>190.52877392620454</v>
      </c>
      <c r="E305" s="4">
        <f t="shared" si="23"/>
        <v>178.76313678498175</v>
      </c>
    </row>
    <row r="306" spans="1:5" x14ac:dyDescent="0.4">
      <c r="A306">
        <v>102</v>
      </c>
      <c r="B306" s="4">
        <f t="shared" si="21"/>
        <v>2.6610747475143963</v>
      </c>
      <c r="C306" s="4">
        <f t="shared" si="22"/>
        <v>3.7771014648432244</v>
      </c>
      <c r="D306" s="4">
        <f t="shared" si="20"/>
        <v>190.50411510312804</v>
      </c>
      <c r="E306" s="4">
        <f t="shared" si="23"/>
        <v>178.75816398625346</v>
      </c>
    </row>
    <row r="307" spans="1:5" x14ac:dyDescent="0.4">
      <c r="A307">
        <v>102.25</v>
      </c>
      <c r="B307" s="4">
        <f t="shared" si="21"/>
        <v>2.6596745911796331</v>
      </c>
      <c r="C307" s="4">
        <f t="shared" si="22"/>
        <v>3.7707982446259236</v>
      </c>
      <c r="D307" s="4">
        <f t="shared" si="20"/>
        <v>190.47948133853922</v>
      </c>
      <c r="E307" s="4">
        <f t="shared" si="23"/>
        <v>178.75313184403046</v>
      </c>
    </row>
    <row r="308" spans="1:5" x14ac:dyDescent="0.4">
      <c r="A308">
        <v>102.5</v>
      </c>
      <c r="B308" s="4">
        <f t="shared" si="21"/>
        <v>2.6582778212959171</v>
      </c>
      <c r="C308" s="4">
        <f t="shared" si="22"/>
        <v>3.7645219830549106</v>
      </c>
      <c r="D308" s="4">
        <f t="shared" si="20"/>
        <v>190.45487261277023</v>
      </c>
      <c r="E308" s="4">
        <f t="shared" si="23"/>
        <v>178.74804090519308</v>
      </c>
    </row>
    <row r="309" spans="1:5" x14ac:dyDescent="0.4">
      <c r="A309">
        <v>102.75</v>
      </c>
      <c r="B309" s="4">
        <f t="shared" si="21"/>
        <v>2.6568844210417075</v>
      </c>
      <c r="C309" s="4">
        <f t="shared" si="22"/>
        <v>3.7582724996123535</v>
      </c>
      <c r="D309" s="4">
        <f t="shared" si="20"/>
        <v>190.43028890570841</v>
      </c>
      <c r="E309" s="4">
        <f t="shared" si="23"/>
        <v>178.7428917109992</v>
      </c>
    </row>
    <row r="310" spans="1:5" x14ac:dyDescent="0.4">
      <c r="A310">
        <v>103</v>
      </c>
      <c r="B310" s="4">
        <f t="shared" si="21"/>
        <v>2.6554943737199777</v>
      </c>
      <c r="C310" s="4">
        <f t="shared" si="22"/>
        <v>3.7520496154261442</v>
      </c>
      <c r="D310" s="4">
        <f t="shared" si="20"/>
        <v>190.40573019680548</v>
      </c>
      <c r="E310" s="4">
        <f t="shared" si="23"/>
        <v>178.73768479715326</v>
      </c>
    </row>
    <row r="311" spans="1:5" x14ac:dyDescent="0.4">
      <c r="A311">
        <v>103.25</v>
      </c>
      <c r="B311" s="4">
        <f t="shared" si="21"/>
        <v>2.6541076627569855</v>
      </c>
      <c r="C311" s="4">
        <f t="shared" si="22"/>
        <v>3.7458531532508981</v>
      </c>
      <c r="D311" s="4">
        <f t="shared" si="20"/>
        <v>190.38119646508667</v>
      </c>
      <c r="E311" s="4">
        <f t="shared" si="23"/>
        <v>178.73242069387456</v>
      </c>
    </row>
    <row r="312" spans="1:5" x14ac:dyDescent="0.4">
      <c r="A312">
        <v>103.5</v>
      </c>
      <c r="B312" s="4">
        <f t="shared" si="21"/>
        <v>2.6527242717010684</v>
      </c>
      <c r="C312" s="4">
        <f t="shared" si="22"/>
        <v>3.7396829374492673</v>
      </c>
      <c r="D312" s="4">
        <f t="shared" si="20"/>
        <v>190.35668768915977</v>
      </c>
      <c r="E312" s="4">
        <f t="shared" si="23"/>
        <v>178.72709992596415</v>
      </c>
    </row>
    <row r="313" spans="1:5" x14ac:dyDescent="0.4">
      <c r="A313">
        <v>103.75</v>
      </c>
      <c r="B313" s="4">
        <f t="shared" si="21"/>
        <v>2.6513441842214522</v>
      </c>
      <c r="C313" s="4">
        <f t="shared" si="22"/>
        <v>3.7335387939735205</v>
      </c>
      <c r="D313" s="4">
        <f t="shared" si="20"/>
        <v>190.33220384722395</v>
      </c>
      <c r="E313" s="4">
        <f t="shared" si="23"/>
        <v>178.72172301287122</v>
      </c>
    </row>
    <row r="314" spans="1:5" x14ac:dyDescent="0.4">
      <c r="A314">
        <v>104</v>
      </c>
      <c r="B314" s="4">
        <f t="shared" si="21"/>
        <v>2.6499673841070686</v>
      </c>
      <c r="C314" s="4">
        <f t="shared" si="22"/>
        <v>3.7274205503473361</v>
      </c>
      <c r="D314" s="4">
        <f t="shared" si="20"/>
        <v>190.30774491707845</v>
      </c>
      <c r="E314" s="4">
        <f t="shared" si="23"/>
        <v>178.71629046875833</v>
      </c>
    </row>
    <row r="315" spans="1:5" x14ac:dyDescent="0.4">
      <c r="A315">
        <v>104.25</v>
      </c>
      <c r="B315" s="4">
        <f t="shared" si="21"/>
        <v>2.6485938552653945</v>
      </c>
      <c r="C315" s="4">
        <f t="shared" si="22"/>
        <v>3.7213280356478879</v>
      </c>
      <c r="D315" s="4">
        <f t="shared" si="20"/>
        <v>190.28331087613114</v>
      </c>
      <c r="E315" s="4">
        <f t="shared" si="23"/>
        <v>178.71080280256544</v>
      </c>
    </row>
    <row r="316" spans="1:5" x14ac:dyDescent="0.4">
      <c r="A316">
        <v>104.5</v>
      </c>
      <c r="B316" s="4">
        <f t="shared" si="21"/>
        <v>2.6472235817212986</v>
      </c>
      <c r="C316" s="4">
        <f t="shared" si="22"/>
        <v>3.7152610804881396</v>
      </c>
      <c r="D316" s="4">
        <f t="shared" si="20"/>
        <v>190.25890170140676</v>
      </c>
      <c r="E316" s="4">
        <f t="shared" si="23"/>
        <v>178.70526051807369</v>
      </c>
    </row>
    <row r="317" spans="1:5" x14ac:dyDescent="0.4">
      <c r="A317">
        <v>104.75</v>
      </c>
      <c r="B317" s="4">
        <f t="shared" si="21"/>
        <v>2.6458565476159084</v>
      </c>
      <c r="C317" s="4">
        <f t="shared" si="22"/>
        <v>3.70921951699943</v>
      </c>
      <c r="D317" s="4">
        <f t="shared" si="20"/>
        <v>190.23451736955528</v>
      </c>
      <c r="E317" s="4">
        <f t="shared" si="23"/>
        <v>178.69966411396746</v>
      </c>
    </row>
    <row r="318" spans="1:5" x14ac:dyDescent="0.4">
      <c r="A318">
        <v>105</v>
      </c>
      <c r="B318" s="4">
        <f t="shared" si="21"/>
        <v>2.6444927372054843</v>
      </c>
      <c r="C318" s="4">
        <f t="shared" si="22"/>
        <v>3.7032031788142481</v>
      </c>
      <c r="D318" s="4">
        <f t="shared" si="20"/>
        <v>190.21015785685989</v>
      </c>
      <c r="E318" s="4">
        <f t="shared" si="23"/>
        <v>178.69401408389609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318"/>
  <sheetViews>
    <sheetView tabSelected="1" zoomScaleNormal="100" workbookViewId="0">
      <selection activeCell="K6" sqref="K6"/>
    </sheetView>
  </sheetViews>
  <sheetFormatPr defaultRowHeight="14.6" x14ac:dyDescent="0.4"/>
  <cols>
    <col min="1" max="1" width="11.69140625" bestFit="1" customWidth="1"/>
    <col min="2" max="3" width="9" bestFit="1" customWidth="1"/>
    <col min="4" max="5" width="9.53515625" bestFit="1" customWidth="1"/>
    <col min="8" max="8" width="10.3046875" customWidth="1"/>
    <col min="9" max="9" width="9.53515625" bestFit="1" customWidth="1"/>
    <col min="11" max="11" width="22.69140625" customWidth="1"/>
    <col min="12" max="12" width="11" bestFit="1" customWidth="1"/>
    <col min="14" max="14" width="9.07421875" customWidth="1"/>
  </cols>
  <sheetData>
    <row r="1" spans="1:15" x14ac:dyDescent="0.4">
      <c r="A1" t="s">
        <v>0</v>
      </c>
      <c r="B1" s="13">
        <f>CONVERT(60000, "ft", "m")</f>
        <v>18288</v>
      </c>
      <c r="C1" t="str">
        <f>"---&gt;"</f>
        <v>---&gt;</v>
      </c>
      <c r="D1" s="1" t="s">
        <v>1</v>
      </c>
      <c r="E1" s="4">
        <f>SQRT(2*9.81*(B1 - E5)) + E2</f>
        <v>920.67742330682211</v>
      </c>
      <c r="F1" s="26"/>
      <c r="I1" s="13">
        <f>CONVERT(115, "in", "m")</f>
        <v>2.9209999999999998</v>
      </c>
      <c r="J1" t="s">
        <v>115</v>
      </c>
    </row>
    <row r="2" spans="1:15" ht="17.149999999999999" x14ac:dyDescent="0.55000000000000004">
      <c r="A2" t="s">
        <v>2</v>
      </c>
      <c r="B2" s="13">
        <v>4.5</v>
      </c>
      <c r="D2" s="26" t="s">
        <v>111</v>
      </c>
      <c r="E2" s="13">
        <v>373</v>
      </c>
    </row>
    <row r="3" spans="1:15" ht="17.149999999999999" x14ac:dyDescent="0.55000000000000004">
      <c r="A3" t="s">
        <v>3</v>
      </c>
      <c r="B3" s="14">
        <f>CONVERT(490,"psi","Pa")/1000</f>
        <v>3378.4310736524972</v>
      </c>
      <c r="D3" t="s">
        <v>4</v>
      </c>
      <c r="E3">
        <v>936</v>
      </c>
      <c r="F3" s="10" t="s">
        <v>128</v>
      </c>
    </row>
    <row r="4" spans="1:15" ht="17.149999999999999" x14ac:dyDescent="0.55000000000000004">
      <c r="A4" s="1" t="s">
        <v>77</v>
      </c>
      <c r="B4" s="13">
        <v>6500</v>
      </c>
      <c r="D4" t="s">
        <v>6</v>
      </c>
      <c r="E4" s="7">
        <f>101.325*(1 - 0.0065*E3/288.16)^(-9.81/-0.0065/287)</f>
        <v>90.569468820817278</v>
      </c>
      <c r="F4" s="2" t="s">
        <v>7</v>
      </c>
    </row>
    <row r="5" spans="1:15" ht="17.149999999999999" x14ac:dyDescent="0.55000000000000004">
      <c r="A5" s="1" t="s">
        <v>8</v>
      </c>
      <c r="B5">
        <v>0.9</v>
      </c>
      <c r="D5" t="s">
        <v>88</v>
      </c>
      <c r="E5" s="13">
        <v>3000</v>
      </c>
      <c r="F5" t="s">
        <v>127</v>
      </c>
      <c r="K5" s="4"/>
    </row>
    <row r="6" spans="1:15" x14ac:dyDescent="0.4">
      <c r="A6" s="1" t="s">
        <v>11</v>
      </c>
      <c r="B6">
        <v>0.9</v>
      </c>
      <c r="C6" s="2" t="s">
        <v>125</v>
      </c>
    </row>
    <row r="7" spans="1:15" x14ac:dyDescent="0.4">
      <c r="A7" s="1"/>
      <c r="H7" t="s">
        <v>121</v>
      </c>
    </row>
    <row r="8" spans="1:15" ht="17.149999999999999" x14ac:dyDescent="0.55000000000000004">
      <c r="A8" s="29" t="s">
        <v>123</v>
      </c>
      <c r="H8" s="1" t="s">
        <v>124</v>
      </c>
      <c r="I8" s="4">
        <f>101.325*(1 - 0.0065*2/3*(E5 + E3)/288.16)^(-9.81/-0.0065/287)</f>
        <v>73.514715069579779</v>
      </c>
      <c r="J8" s="2" t="s">
        <v>126</v>
      </c>
    </row>
    <row r="9" spans="1:15" ht="17.149999999999999" x14ac:dyDescent="0.55000000000000004">
      <c r="A9" s="1" t="s">
        <v>13</v>
      </c>
      <c r="B9" s="27">
        <v>1.2343</v>
      </c>
      <c r="H9" t="s">
        <v>27</v>
      </c>
      <c r="I9" s="4">
        <f>SQRT(2/(B9-1)*((B3/I8)^((B9-1)/B9) - 1))</f>
        <v>3.0193703015385518</v>
      </c>
      <c r="J9" s="26"/>
    </row>
    <row r="10" spans="1:15" ht="15" thickBot="1" x14ac:dyDescent="0.45">
      <c r="A10" s="1" t="s">
        <v>15</v>
      </c>
      <c r="B10">
        <v>23.103000000000002</v>
      </c>
      <c r="C10" t="str">
        <f>"---&gt;"</f>
        <v>---&gt;</v>
      </c>
      <c r="D10" t="s">
        <v>16</v>
      </c>
      <c r="E10" s="4">
        <f>8314/B10</f>
        <v>359.86668398043543</v>
      </c>
      <c r="H10" s="1" t="s">
        <v>28</v>
      </c>
      <c r="I10" s="4">
        <f>1/I9*(2/(B9+1)*(1 + (B9-1)/2*I9^2))^((B9+1)/(2*B9-2))</f>
        <v>6.2409544569316884</v>
      </c>
    </row>
    <row r="11" spans="1:15" ht="18" thickTop="1" thickBot="1" x14ac:dyDescent="0.6">
      <c r="A11" s="1" t="s">
        <v>17</v>
      </c>
      <c r="B11" s="26">
        <v>2825.98</v>
      </c>
      <c r="H11" s="1" t="s">
        <v>29</v>
      </c>
      <c r="I11" s="4">
        <f>$B$6*$B$12/9.81*($B$9*SQRT(2/($B$9-1)*(2/($B$9+1))^(($B$9+1)/($B$9-1))*(1 - (I8/$B$3)^(($B$9-1)/$B$9))) + I10/$B$3*(I8 - $I$8))</f>
        <v>194.23248655008027</v>
      </c>
      <c r="J11" s="32">
        <f>B12*M17/9.81</f>
        <v>194.23248655008027</v>
      </c>
      <c r="K11" s="26"/>
    </row>
    <row r="12" spans="1:15" ht="15.45" thickTop="1" thickBot="1" x14ac:dyDescent="0.45">
      <c r="A12" s="1" t="s">
        <v>18</v>
      </c>
      <c r="B12" s="4">
        <f>B5*SQRT(E10*B11/B9*((B9 + 1)/2)^((B9 + 1)/(B9 - 1)))</f>
        <v>1385.4302060307177</v>
      </c>
      <c r="C12" s="30">
        <f>B3*1000*M15/I26</f>
        <v>1385.4302060307177</v>
      </c>
    </row>
    <row r="13" spans="1:15" ht="15" thickTop="1" x14ac:dyDescent="0.4">
      <c r="D13" s="9" t="s">
        <v>22</v>
      </c>
      <c r="E13" s="3" t="s">
        <v>23</v>
      </c>
      <c r="H13" t="s">
        <v>19</v>
      </c>
      <c r="J13" t="s">
        <v>20</v>
      </c>
      <c r="L13" t="s">
        <v>21</v>
      </c>
      <c r="O13" s="10" t="s">
        <v>63</v>
      </c>
    </row>
    <row r="14" spans="1:15" ht="17.149999999999999" x14ac:dyDescent="0.55000000000000004">
      <c r="A14" t="s">
        <v>26</v>
      </c>
      <c r="B14" t="s">
        <v>27</v>
      </c>
      <c r="C14" s="1" t="s">
        <v>28</v>
      </c>
      <c r="D14" s="1" t="s">
        <v>29</v>
      </c>
      <c r="E14" s="1" t="s">
        <v>29</v>
      </c>
      <c r="H14" s="1" t="s">
        <v>24</v>
      </c>
      <c r="I14">
        <f>0.2*B3</f>
        <v>675.6862147304995</v>
      </c>
      <c r="J14">
        <f>CONVERT(I14*1000, "Pa", "psi")</f>
        <v>98.000000000000014</v>
      </c>
      <c r="L14" s="1" t="s">
        <v>28</v>
      </c>
      <c r="M14" s="4">
        <f>I10</f>
        <v>6.2409544569316884</v>
      </c>
      <c r="N14" t="s">
        <v>64</v>
      </c>
    </row>
    <row r="15" spans="1:15" ht="17.600000000000001" x14ac:dyDescent="0.55000000000000004">
      <c r="A15">
        <v>29.5</v>
      </c>
      <c r="B15" s="4">
        <f>SQRT(2/($B$9-1)*((A15/$B$3)^((1-$B$9)/$B$9) - 1))</f>
        <v>3.5295130689165792</v>
      </c>
      <c r="C15" s="4">
        <f>1/B15*(2/($B$9+1)*(1 + ($B$9-1)/2*B15^2))^(($B$9+1)/(2*$B$9-2))</f>
        <v>12.200208535295184</v>
      </c>
      <c r="D15" s="4">
        <f t="shared" ref="D15:D78" si="0">$B$6*$B$12/9.81*($B$9*SQRT(2/($B$9-1)*(2/($B$9+1))^(($B$9+1)/($B$9-1))*(1 - (A15/$B$3)^(($B$9-1)/$B$9))) + C15/$B$3*(A15 - $I$8))</f>
        <v>187.99829128084784</v>
      </c>
      <c r="E15" s="4">
        <f>$B$6*$B$12/9.81*($B$9*SQRT(2/($B$9-1)*(2/($B$9+1))^(($B$9+1)/($B$9-1))*(1 - (A15/$B$3)^(($B$9-1)/$B$9))) + C15/$B$3*(A15 - $E$4))</f>
        <v>180.17020149096777</v>
      </c>
      <c r="H15" s="1" t="s">
        <v>30</v>
      </c>
      <c r="I15">
        <v>0</v>
      </c>
      <c r="J15" s="2" t="s">
        <v>31</v>
      </c>
      <c r="L15" t="s">
        <v>25</v>
      </c>
      <c r="M15">
        <f>I26*B12/(B3*1000)</f>
        <v>1.3989173885694205E-3</v>
      </c>
      <c r="N15" s="18">
        <f>SQRT(M15/PI())*2</f>
        <v>4.2203755033696132E-2</v>
      </c>
      <c r="O15" s="10" t="s">
        <v>65</v>
      </c>
    </row>
    <row r="16" spans="1:15" ht="18" thickBot="1" x14ac:dyDescent="0.6">
      <c r="A16">
        <v>29.75</v>
      </c>
      <c r="B16" s="4">
        <f t="shared" ref="B16:B79" si="1">SQRT(2/($B$9-1)*((A16/$B$3)^((1-$B$9)/$B$9) - 1))</f>
        <v>3.524749617144801</v>
      </c>
      <c r="C16" s="4">
        <f t="shared" ref="C16:C79" si="2">1/B16*(2/($B$9+1)*(1 + ($B$9-1)/2*B16^2))^(($B$9+1)/(2*$B$9-2))</f>
        <v>12.123741579555219</v>
      </c>
      <c r="D16" s="4">
        <f t="shared" si="0"/>
        <v>188.1245562095464</v>
      </c>
      <c r="E16" s="4">
        <f t="shared" ref="E16:E79" si="3">$B$6*$B$12/9.81*($B$9*SQRT(2/($B$9-1)*(2/($B$9+1))^(($B$9+1)/($B$9-1))*(1 - (A16/$B$3)^(($B$9-1)/$B$9))) + C16/$B$3*(A16 - $E$4))</f>
        <v>180.34553035113601</v>
      </c>
      <c r="H16" s="1" t="s">
        <v>33</v>
      </c>
      <c r="I16">
        <f>0.5*B3/E10/B11*1^2</f>
        <v>1.6610180093984254E-3</v>
      </c>
      <c r="J16" s="2" t="s">
        <v>34</v>
      </c>
      <c r="L16" t="s">
        <v>32</v>
      </c>
      <c r="M16">
        <f>M15*M14</f>
        <v>8.7305797110715632E-3</v>
      </c>
      <c r="N16" s="18">
        <f>SQRT(M16/PI())*2</f>
        <v>0.10543300876195655</v>
      </c>
      <c r="O16" s="10" t="s">
        <v>66</v>
      </c>
    </row>
    <row r="17" spans="1:19" ht="18" thickTop="1" thickBot="1" x14ac:dyDescent="0.6">
      <c r="A17">
        <v>30</v>
      </c>
      <c r="B17" s="4">
        <f t="shared" si="1"/>
        <v>3.5200272062047393</v>
      </c>
      <c r="C17" s="4">
        <f t="shared" si="2"/>
        <v>12.048405495518193</v>
      </c>
      <c r="D17" s="4">
        <f t="shared" si="0"/>
        <v>188.24824522014575</v>
      </c>
      <c r="E17" s="4">
        <f t="shared" si="3"/>
        <v>180.51755768550689</v>
      </c>
      <c r="H17" s="1" t="s">
        <v>36</v>
      </c>
      <c r="I17" s="16">
        <f>B3+I14+I15+I16</f>
        <v>4054.1189494010064</v>
      </c>
      <c r="J17" s="4">
        <f>CONVERT(I17*1000, "Pa", "psi")</f>
        <v>588.00024091029445</v>
      </c>
      <c r="L17" t="s">
        <v>122</v>
      </c>
      <c r="M17" s="7">
        <f>B6*SQRT(2*B9^2/(B9 - 1)*(2/(B9 + 1))^((B9 + 1)/(B9 - 1))*(1 - (I8/B3)^((B9 - 1)/B9))) + (I8/B3 - I8/B3)*M14</f>
        <v>1.3753278113629064</v>
      </c>
      <c r="N17" s="31">
        <f>B4/M15/(B3*1000)</f>
        <v>1.3753278113629064</v>
      </c>
    </row>
    <row r="18" spans="1:19" ht="15" thickTop="1" x14ac:dyDescent="0.4">
      <c r="A18">
        <v>30.25</v>
      </c>
      <c r="B18" s="4">
        <f t="shared" si="1"/>
        <v>3.5153451380463889</v>
      </c>
      <c r="C18" s="4">
        <f t="shared" si="2"/>
        <v>11.974174303506198</v>
      </c>
      <c r="D18" s="4">
        <f t="shared" si="0"/>
        <v>188.36942199572559</v>
      </c>
      <c r="E18" s="4">
        <f t="shared" si="3"/>
        <v>180.68636384665001</v>
      </c>
    </row>
    <row r="19" spans="1:19" ht="17.149999999999999" x14ac:dyDescent="0.55000000000000004">
      <c r="A19">
        <v>30.5</v>
      </c>
      <c r="B19" s="4">
        <f t="shared" si="1"/>
        <v>3.5107027321703854</v>
      </c>
      <c r="C19" s="4">
        <f t="shared" si="2"/>
        <v>11.901022829470339</v>
      </c>
      <c r="D19" s="4">
        <f t="shared" si="0"/>
        <v>188.48814817874171</v>
      </c>
      <c r="E19" s="4">
        <f t="shared" si="3"/>
        <v>180.85202662959045</v>
      </c>
      <c r="H19" t="s">
        <v>37</v>
      </c>
      <c r="K19" t="s">
        <v>38</v>
      </c>
      <c r="L19" s="3" t="s">
        <v>74</v>
      </c>
    </row>
    <row r="20" spans="1:19" ht="17.600000000000001" x14ac:dyDescent="0.55000000000000004">
      <c r="A20">
        <v>30.75</v>
      </c>
      <c r="B20" s="4">
        <f t="shared" si="1"/>
        <v>3.5060993250466401</v>
      </c>
      <c r="C20" s="4">
        <f t="shared" si="2"/>
        <v>11.828926673644192</v>
      </c>
      <c r="D20" s="4">
        <f t="shared" si="0"/>
        <v>188.60448345191696</v>
      </c>
      <c r="E20" s="4">
        <f t="shared" si="3"/>
        <v>181.01462137281328</v>
      </c>
      <c r="H20" t="s">
        <v>39</v>
      </c>
      <c r="I20" s="14">
        <v>45</v>
      </c>
      <c r="K20" t="s">
        <v>40</v>
      </c>
      <c r="L20" s="13">
        <v>700</v>
      </c>
      <c r="M20" s="10" t="s">
        <v>41</v>
      </c>
    </row>
    <row r="21" spans="1:19" ht="17.149999999999999" x14ac:dyDescent="0.55000000000000004">
      <c r="A21">
        <v>31</v>
      </c>
      <c r="B21" s="4">
        <f t="shared" si="1"/>
        <v>3.5015342695568048</v>
      </c>
      <c r="C21" s="4">
        <f t="shared" si="2"/>
        <v>11.757862180660867</v>
      </c>
      <c r="D21" s="4">
        <f t="shared" si="0"/>
        <v>188.71848561531084</v>
      </c>
      <c r="E21" s="4">
        <f t="shared" si="3"/>
        <v>181.17422105450663</v>
      </c>
      <c r="H21" t="s">
        <v>42</v>
      </c>
      <c r="I21" s="4">
        <f>I20*EXP(E1/I11/9.81)</f>
        <v>72.955598732689978</v>
      </c>
      <c r="K21" t="s">
        <v>87</v>
      </c>
      <c r="L21" s="13">
        <v>1</v>
      </c>
    </row>
    <row r="22" spans="1:19" ht="17.600000000000001" x14ac:dyDescent="0.55000000000000004">
      <c r="A22">
        <v>31.25</v>
      </c>
      <c r="B22" s="4">
        <f t="shared" si="1"/>
        <v>3.4970069344593928</v>
      </c>
      <c r="C22" s="4">
        <f t="shared" si="2"/>
        <v>11.687806411053394</v>
      </c>
      <c r="D22" s="4">
        <f t="shared" si="0"/>
        <v>188.83021065977721</v>
      </c>
      <c r="E22" s="4">
        <f t="shared" si="3"/>
        <v>181.33089638430621</v>
      </c>
      <c r="H22" t="s">
        <v>45</v>
      </c>
      <c r="I22" s="7">
        <f>I21-I20</f>
        <v>27.955598732689978</v>
      </c>
      <c r="K22" t="s">
        <v>43</v>
      </c>
      <c r="L22" s="21">
        <f>I28/L21/L20</f>
        <v>3.987257315452155E-3</v>
      </c>
      <c r="M22" s="4">
        <f>L22*100^2</f>
        <v>39.872573154521547</v>
      </c>
      <c r="N22" t="s">
        <v>44</v>
      </c>
      <c r="O22" t="s">
        <v>67</v>
      </c>
    </row>
    <row r="23" spans="1:19" ht="17.149999999999999" x14ac:dyDescent="0.55000000000000004">
      <c r="A23">
        <v>31.5</v>
      </c>
      <c r="B23" s="4">
        <f t="shared" si="1"/>
        <v>3.4925167038764595</v>
      </c>
      <c r="C23" s="4">
        <f t="shared" si="2"/>
        <v>11.618737114064496</v>
      </c>
      <c r="D23" s="4">
        <f t="shared" si="0"/>
        <v>188.93971283700589</v>
      </c>
      <c r="E23" s="4">
        <f t="shared" si="3"/>
        <v>181.48471589078292</v>
      </c>
      <c r="H23" t="s">
        <v>48</v>
      </c>
      <c r="I23" s="15">
        <f>I22/(1+B2)</f>
        <v>5.0828361332163601</v>
      </c>
      <c r="K23" t="s">
        <v>46</v>
      </c>
      <c r="L23" s="17">
        <f>2*SQRT(L22/PI())</f>
        <v>7.1251201316667276E-2</v>
      </c>
      <c r="M23" s="4">
        <f>L23*100</f>
        <v>7.1251201316667272</v>
      </c>
      <c r="N23" t="s">
        <v>47</v>
      </c>
      <c r="O23" s="8">
        <f>CONVERT(L23, "m", "in")</f>
        <v>2.8051654061680029</v>
      </c>
      <c r="P23" s="4"/>
    </row>
    <row r="24" spans="1:19" ht="17.600000000000001" thickBot="1" x14ac:dyDescent="0.6">
      <c r="A24">
        <v>31.75</v>
      </c>
      <c r="B24" s="4">
        <f t="shared" si="1"/>
        <v>3.4880629768008182</v>
      </c>
      <c r="C24" s="4">
        <f t="shared" si="2"/>
        <v>11.550632701695285</v>
      </c>
      <c r="D24" s="4">
        <f t="shared" si="0"/>
        <v>189.04704472633327</v>
      </c>
      <c r="E24" s="4">
        <f t="shared" si="3"/>
        <v>181.63574600490463</v>
      </c>
      <c r="H24" t="s">
        <v>51</v>
      </c>
      <c r="I24" s="15">
        <f>I22-I23</f>
        <v>22.872762599473617</v>
      </c>
      <c r="K24" t="s">
        <v>49</v>
      </c>
      <c r="L24" s="18">
        <f>(I27/(900*0.000155*L20^0.5*PI()*L23))^(1/(0+1))</f>
        <v>0.7507485436021486</v>
      </c>
      <c r="M24" s="4">
        <f>L24*100</f>
        <v>75.074854360214857</v>
      </c>
      <c r="N24" t="s">
        <v>47</v>
      </c>
      <c r="O24" s="8">
        <f>CONVERT(L24, "m", "in")</f>
        <v>29.557029275675141</v>
      </c>
      <c r="P24" s="10" t="s">
        <v>68</v>
      </c>
    </row>
    <row r="25" spans="1:19" ht="18" thickTop="1" thickBot="1" x14ac:dyDescent="0.6">
      <c r="A25">
        <v>32</v>
      </c>
      <c r="B25" s="4">
        <f t="shared" si="1"/>
        <v>3.4836451666228085</v>
      </c>
      <c r="C25" s="4">
        <f t="shared" si="2"/>
        <v>11.483472223927507</v>
      </c>
      <c r="D25" s="4">
        <f t="shared" si="0"/>
        <v>189.15225729849345</v>
      </c>
      <c r="E25" s="4">
        <f t="shared" si="3"/>
        <v>181.78405113968591</v>
      </c>
      <c r="H25" t="s">
        <v>53</v>
      </c>
      <c r="I25" s="7">
        <f>I20/I21</f>
        <v>0.61681352468753547</v>
      </c>
      <c r="K25" t="s">
        <v>52</v>
      </c>
      <c r="L25" s="25">
        <f>SQRT(4*I23/PI()/L24/900/L21 + L23^2)</f>
        <v>0.12105713706746228</v>
      </c>
      <c r="M25" s="4">
        <f t="shared" ref="M25:M26" si="4">L25*100</f>
        <v>12.105713706746227</v>
      </c>
      <c r="N25" t="s">
        <v>47</v>
      </c>
      <c r="O25" s="8">
        <f t="shared" ref="O25:O26" si="5">CONVERT(L25, "m", "in")</f>
        <v>4.7660290184040264</v>
      </c>
    </row>
    <row r="26" spans="1:19" ht="17.600000000000001" thickTop="1" x14ac:dyDescent="0.55000000000000004">
      <c r="A26">
        <v>32.25</v>
      </c>
      <c r="B26" s="4">
        <f t="shared" si="1"/>
        <v>3.4792627006756978</v>
      </c>
      <c r="C26" s="4">
        <f t="shared" si="2"/>
        <v>11.417235345057286</v>
      </c>
      <c r="D26" s="4">
        <f t="shared" si="0"/>
        <v>189.25539997647383</v>
      </c>
      <c r="E26" s="4">
        <f t="shared" si="3"/>
        <v>181.92969376622841</v>
      </c>
      <c r="H26" t="s">
        <v>55</v>
      </c>
      <c r="I26" s="24">
        <f>B4/I11/9.81</f>
        <v>3.4113201476646213</v>
      </c>
      <c r="K26" t="s">
        <v>54</v>
      </c>
      <c r="L26" s="18">
        <f>(L25-L23)/2</f>
        <v>2.4902967875397503E-2</v>
      </c>
      <c r="M26" s="4">
        <f t="shared" si="4"/>
        <v>2.4902967875397501</v>
      </c>
      <c r="N26" t="s">
        <v>47</v>
      </c>
      <c r="O26" s="4">
        <f t="shared" si="5"/>
        <v>0.98043180611801195</v>
      </c>
    </row>
    <row r="27" spans="1:19" ht="17.149999999999999" x14ac:dyDescent="0.55000000000000004">
      <c r="A27">
        <v>32.5</v>
      </c>
      <c r="B27" s="4">
        <f t="shared" si="1"/>
        <v>3.4749150197988414</v>
      </c>
      <c r="C27" s="4">
        <f t="shared" si="2"/>
        <v>11.351902321082591</v>
      </c>
      <c r="D27" s="4">
        <f t="shared" si="0"/>
        <v>189.35652069362649</v>
      </c>
      <c r="E27" s="4">
        <f t="shared" si="3"/>
        <v>182.0727344863416</v>
      </c>
      <c r="H27" t="s">
        <v>57</v>
      </c>
      <c r="I27" s="8">
        <f>I26/(1 + B2)</f>
        <v>0.62024002684811297</v>
      </c>
      <c r="K27" t="s">
        <v>69</v>
      </c>
      <c r="M27">
        <v>0</v>
      </c>
    </row>
    <row r="28" spans="1:19" ht="17.149999999999999" x14ac:dyDescent="0.55000000000000004">
      <c r="A28">
        <v>32.75</v>
      </c>
      <c r="B28" s="4">
        <f t="shared" si="1"/>
        <v>3.470601577917781</v>
      </c>
      <c r="C28" s="4">
        <f t="shared" si="2"/>
        <v>11.287453978089605</v>
      </c>
      <c r="D28" s="4">
        <f t="shared" si="0"/>
        <v>189.45566594917932</v>
      </c>
      <c r="E28" s="4">
        <f t="shared" si="3"/>
        <v>182.21323210192162</v>
      </c>
      <c r="H28" t="s">
        <v>58</v>
      </c>
      <c r="I28" s="7">
        <f>I26-I27</f>
        <v>2.7910801208165084</v>
      </c>
      <c r="M28" s="26"/>
    </row>
    <row r="29" spans="1:19" x14ac:dyDescent="0.4">
      <c r="A29">
        <v>33</v>
      </c>
      <c r="B29" s="4">
        <f t="shared" si="1"/>
        <v>3.4663218416404971</v>
      </c>
      <c r="C29" s="4">
        <f t="shared" si="2"/>
        <v>11.223871691586773</v>
      </c>
      <c r="D29" s="4">
        <f t="shared" si="0"/>
        <v>189.55288086128226</v>
      </c>
      <c r="E29" s="4">
        <f t="shared" si="3"/>
        <v>182.35124368125773</v>
      </c>
      <c r="H29" s="1"/>
      <c r="I29" s="7"/>
      <c r="S29" s="7"/>
    </row>
    <row r="30" spans="1:19" x14ac:dyDescent="0.4">
      <c r="A30">
        <v>33.25</v>
      </c>
      <c r="B30" s="4">
        <f t="shared" si="1"/>
        <v>3.4620752898690763</v>
      </c>
      <c r="C30" s="4">
        <f t="shared" si="2"/>
        <v>11.161137366737913</v>
      </c>
      <c r="D30" s="4">
        <f t="shared" si="0"/>
        <v>189.64820921771479</v>
      </c>
      <c r="E30" s="4">
        <f t="shared" si="3"/>
        <v>182.48682462242303</v>
      </c>
      <c r="K30" s="4"/>
      <c r="M30" s="4"/>
      <c r="N30" s="4"/>
    </row>
    <row r="31" spans="1:19" x14ac:dyDescent="0.4">
      <c r="A31">
        <v>33.5</v>
      </c>
      <c r="B31" s="4">
        <f t="shared" si="1"/>
        <v>3.4578614134260968</v>
      </c>
      <c r="C31" s="4">
        <f t="shared" si="2"/>
        <v>11.09923341944925</v>
      </c>
      <c r="D31" s="4">
        <f t="shared" si="0"/>
        <v>189.74169352437471</v>
      </c>
      <c r="E31" s="4">
        <f t="shared" si="3"/>
        <v>182.62002871389822</v>
      </c>
      <c r="H31" s="22" t="s">
        <v>75</v>
      </c>
    </row>
    <row r="32" spans="1:19" x14ac:dyDescent="0.4">
      <c r="A32">
        <v>33.75</v>
      </c>
      <c r="B32" s="4">
        <f t="shared" si="1"/>
        <v>3.4536797146950633</v>
      </c>
      <c r="C32" s="4">
        <f t="shared" si="2"/>
        <v>11.038142758266916</v>
      </c>
      <c r="D32" s="4">
        <f t="shared" si="0"/>
        <v>189.83337505166091</v>
      </c>
      <c r="E32" s="4">
        <f t="shared" si="3"/>
        <v>182.75090819256985</v>
      </c>
      <c r="H32" t="s">
        <v>37</v>
      </c>
      <c r="K32" t="s">
        <v>38</v>
      </c>
    </row>
    <row r="33" spans="1:15" ht="17.600000000000001" x14ac:dyDescent="0.55000000000000004">
      <c r="A33">
        <v>34</v>
      </c>
      <c r="B33" s="4">
        <f t="shared" si="1"/>
        <v>3.4495297072742734</v>
      </c>
      <c r="C33" s="4">
        <f t="shared" si="2"/>
        <v>10.977848767045002</v>
      </c>
      <c r="D33" s="4">
        <f t="shared" si="0"/>
        <v>189.92329387885599</v>
      </c>
      <c r="E33" s="4">
        <f t="shared" si="3"/>
        <v>182.87951379923348</v>
      </c>
      <c r="H33" t="s">
        <v>39</v>
      </c>
      <c r="I33" s="14">
        <f>I20</f>
        <v>45</v>
      </c>
      <c r="K33" t="s">
        <v>40</v>
      </c>
      <c r="L33" s="13">
        <v>674.61547150345939</v>
      </c>
      <c r="M33" s="10" t="s">
        <v>41</v>
      </c>
    </row>
    <row r="34" spans="1:15" ht="17.149999999999999" x14ac:dyDescent="0.55000000000000004">
      <c r="A34">
        <v>34.25</v>
      </c>
      <c r="B34" s="4">
        <f t="shared" si="1"/>
        <v>3.4454109156435031</v>
      </c>
      <c r="C34" s="4">
        <f t="shared" si="2"/>
        <v>10.918335288345439</v>
      </c>
      <c r="D34" s="4">
        <f t="shared" si="0"/>
        <v>190.0114889366088</v>
      </c>
      <c r="E34" s="4">
        <f t="shared" si="3"/>
        <v>183.00589483172769</v>
      </c>
      <c r="H34" t="s">
        <v>42</v>
      </c>
      <c r="I34" s="4">
        <f>I33+I35</f>
        <v>54.777777777777779</v>
      </c>
      <c r="K34" t="s">
        <v>87</v>
      </c>
      <c r="L34" s="13">
        <v>1</v>
      </c>
    </row>
    <row r="35" spans="1:15" ht="17.600000000000001" x14ac:dyDescent="0.55000000000000004">
      <c r="A35">
        <v>34.5</v>
      </c>
      <c r="B35" s="4">
        <f t="shared" si="1"/>
        <v>3.4413228748429643</v>
      </c>
      <c r="C35" s="4">
        <f t="shared" si="2"/>
        <v>10.859586607534251</v>
      </c>
      <c r="D35" s="4">
        <f t="shared" si="0"/>
        <v>190.09799804761118</v>
      </c>
      <c r="E35" s="4">
        <f t="shared" si="3"/>
        <v>183.13009919581501</v>
      </c>
      <c r="H35" t="s">
        <v>45</v>
      </c>
      <c r="I35" s="7">
        <f>I36+I37</f>
        <v>9.7777777777777786</v>
      </c>
      <c r="K35" t="s">
        <v>43</v>
      </c>
      <c r="L35" s="21">
        <f>I41/L34/L33</f>
        <v>4.1372904101891709E-3</v>
      </c>
      <c r="M35" s="4">
        <f>L35*100^2</f>
        <v>41.372904101891706</v>
      </c>
      <c r="N35" t="s">
        <v>44</v>
      </c>
      <c r="O35" t="s">
        <v>67</v>
      </c>
    </row>
    <row r="36" spans="1:15" ht="17.149999999999999" x14ac:dyDescent="0.55000000000000004">
      <c r="A36">
        <v>34.75</v>
      </c>
      <c r="B36" s="4">
        <f t="shared" si="1"/>
        <v>3.4372651301639858</v>
      </c>
      <c r="C36" s="4">
        <f t="shared" si="2"/>
        <v>10.801587437539649</v>
      </c>
      <c r="D36" s="4">
        <f t="shared" si="0"/>
        <v>190.18285796555827</v>
      </c>
      <c r="E36" s="4">
        <f t="shared" si="3"/>
        <v>183.25217345392218</v>
      </c>
      <c r="H36" t="s">
        <v>48</v>
      </c>
      <c r="I36" s="15">
        <f>I37/B2</f>
        <v>1.7777777777777777</v>
      </c>
      <c r="K36" t="s">
        <v>46</v>
      </c>
      <c r="L36" s="17">
        <f>2*SQRT(L35/PI())</f>
        <v>7.2579348015164857E-2</v>
      </c>
      <c r="M36" s="4">
        <f>L36*100</f>
        <v>7.2579348015164857</v>
      </c>
      <c r="N36" t="s">
        <v>47</v>
      </c>
      <c r="O36" s="8">
        <f>CONVERT(L36, "m", "in")</f>
        <v>2.8574546462663326</v>
      </c>
    </row>
    <row r="37" spans="1:15" ht="17.600000000000001" thickBot="1" x14ac:dyDescent="0.6">
      <c r="A37">
        <v>35</v>
      </c>
      <c r="B37" s="4">
        <f t="shared" si="1"/>
        <v>3.4332372368509048</v>
      </c>
      <c r="C37" s="4">
        <f t="shared" si="2"/>
        <v>10.744322904240223</v>
      </c>
      <c r="D37" s="4">
        <f t="shared" si="0"/>
        <v>190.26610441247621</v>
      </c>
      <c r="E37" s="4">
        <f t="shared" si="3"/>
        <v>183.37216287184313</v>
      </c>
      <c r="H37" t="s">
        <v>51</v>
      </c>
      <c r="I37" s="23">
        <v>8</v>
      </c>
      <c r="K37" t="s">
        <v>49</v>
      </c>
      <c r="L37" s="18">
        <f>(I40*PI()^(0.5-1)/(0.155/1000*(4*I39)^0.5*900)*L36^(2*0.5-1))^(1/(0+1))</f>
        <v>0.67907760846384491</v>
      </c>
      <c r="M37" s="4">
        <f>L37*100</f>
        <v>67.907760846384491</v>
      </c>
      <c r="N37" t="s">
        <v>47</v>
      </c>
      <c r="O37" s="8">
        <f t="shared" ref="O37:O39" si="6">CONVERT(L37, "m", "in")</f>
        <v>26.735338915899405</v>
      </c>
    </row>
    <row r="38" spans="1:15" ht="18" thickTop="1" thickBot="1" x14ac:dyDescent="0.6">
      <c r="A38">
        <v>35.25</v>
      </c>
      <c r="B38" s="4">
        <f t="shared" si="1"/>
        <v>3.4292387598137015</v>
      </c>
      <c r="C38" s="4">
        <f t="shared" si="2"/>
        <v>10.687778532452821</v>
      </c>
      <c r="D38" s="4">
        <f t="shared" si="0"/>
        <v>190.347772114496</v>
      </c>
      <c r="E38" s="4">
        <f t="shared" si="3"/>
        <v>183.49011146350375</v>
      </c>
      <c r="H38" t="s">
        <v>53</v>
      </c>
      <c r="I38" s="7">
        <f>I33/I34</f>
        <v>0.82150101419878296</v>
      </c>
      <c r="K38" t="s">
        <v>52</v>
      </c>
      <c r="L38" s="25">
        <f>SQRT(4*I36/PI()/L37/900/L34 + L36^2)</f>
        <v>9.4717344625063385E-2</v>
      </c>
      <c r="M38" s="4">
        <f t="shared" ref="M38:M39" si="7">L38*100</f>
        <v>9.4717344625063387</v>
      </c>
      <c r="N38" t="s">
        <v>47</v>
      </c>
      <c r="O38" s="8">
        <f t="shared" si="6"/>
        <v>3.7290293159473773</v>
      </c>
    </row>
    <row r="39" spans="1:15" ht="17.600000000000001" thickTop="1" x14ac:dyDescent="0.55000000000000004">
      <c r="A39">
        <v>35.5</v>
      </c>
      <c r="B39" s="4">
        <f t="shared" si="1"/>
        <v>3.4252692733509043</v>
      </c>
      <c r="C39" s="4">
        <f t="shared" si="2"/>
        <v>10.631940232491422</v>
      </c>
      <c r="D39" s="4">
        <f t="shared" si="0"/>
        <v>190.42789483615002</v>
      </c>
      <c r="E39" s="4">
        <f t="shared" si="3"/>
        <v>183.60606203388247</v>
      </c>
      <c r="H39" t="s">
        <v>55</v>
      </c>
      <c r="I39" s="24">
        <f>B4/I11/9.81</f>
        <v>3.4113201476646213</v>
      </c>
      <c r="K39" t="s">
        <v>54</v>
      </c>
      <c r="L39" s="18">
        <f>(L38-L36)/2</f>
        <v>1.1068998304949264E-2</v>
      </c>
      <c r="M39" s="4">
        <f t="shared" si="7"/>
        <v>1.1068998304949265</v>
      </c>
      <c r="N39" t="s">
        <v>47</v>
      </c>
      <c r="O39" s="4">
        <f t="shared" si="6"/>
        <v>0.43578733484052223</v>
      </c>
    </row>
    <row r="40" spans="1:15" ht="17.149999999999999" x14ac:dyDescent="0.55000000000000004">
      <c r="A40">
        <v>35.75</v>
      </c>
      <c r="B40" s="4">
        <f t="shared" si="1"/>
        <v>3.4213283608823275</v>
      </c>
      <c r="C40" s="4">
        <f t="shared" si="2"/>
        <v>10.5767942872698</v>
      </c>
      <c r="D40" s="4">
        <f t="shared" si="0"/>
        <v>190.50650541326041</v>
      </c>
      <c r="E40" s="4">
        <f t="shared" si="3"/>
        <v>183.72005622017411</v>
      </c>
      <c r="H40" t="s">
        <v>57</v>
      </c>
      <c r="I40" s="8">
        <f>I39/(1 + B2)</f>
        <v>0.62024002684811297</v>
      </c>
    </row>
    <row r="41" spans="1:15" ht="17.149999999999999" x14ac:dyDescent="0.55000000000000004">
      <c r="A41">
        <v>36</v>
      </c>
      <c r="B41" s="4">
        <f t="shared" si="1"/>
        <v>3.4174156146912327</v>
      </c>
      <c r="C41" s="4">
        <f t="shared" si="2"/>
        <v>10.522327339922455</v>
      </c>
      <c r="D41" s="4">
        <f t="shared" si="0"/>
        <v>190.58363578448711</v>
      </c>
      <c r="E41" s="4">
        <f t="shared" si="3"/>
        <v>183.83213453128087</v>
      </c>
      <c r="H41" t="s">
        <v>58</v>
      </c>
      <c r="I41" s="7">
        <f>I39-I40</f>
        <v>2.7910801208165084</v>
      </c>
    </row>
    <row r="42" spans="1:15" x14ac:dyDescent="0.4">
      <c r="A42">
        <v>36.25</v>
      </c>
      <c r="B42" s="4">
        <f t="shared" si="1"/>
        <v>3.41353063567552</v>
      </c>
      <c r="C42" s="4">
        <f t="shared" si="2"/>
        <v>10.468526381919746</v>
      </c>
      <c r="D42" s="4">
        <f t="shared" si="0"/>
        <v>190.65931702159907</v>
      </c>
      <c r="E42" s="4">
        <f t="shared" si="3"/>
        <v>183.94233638570918</v>
      </c>
    </row>
    <row r="43" spans="1:15" x14ac:dyDescent="0.4">
      <c r="A43">
        <v>36.5</v>
      </c>
      <c r="B43" s="4">
        <f t="shared" si="1"/>
        <v>3.4096730331075631</v>
      </c>
      <c r="C43" s="4">
        <f t="shared" si="2"/>
        <v>10.415378741653656</v>
      </c>
      <c r="D43" s="4">
        <f t="shared" si="0"/>
        <v>190.73357935852815</v>
      </c>
      <c r="E43" s="4">
        <f t="shared" si="3"/>
        <v>184.05070014794748</v>
      </c>
    </row>
    <row r="44" spans="1:15" x14ac:dyDescent="0.4">
      <c r="A44">
        <v>36.75</v>
      </c>
      <c r="B44" s="4">
        <f t="shared" si="1"/>
        <v>3.4058424244023411</v>
      </c>
      <c r="C44" s="4">
        <f t="shared" si="2"/>
        <v>10.362872073473188</v>
      </c>
      <c r="D44" s="4">
        <f t="shared" si="0"/>
        <v>190.80645221926298</v>
      </c>
      <c r="E44" s="4">
        <f t="shared" si="3"/>
        <v>184.15726316339524</v>
      </c>
    </row>
    <row r="45" spans="1:15" x14ac:dyDescent="0.4">
      <c r="A45">
        <v>37</v>
      </c>
      <c r="B45" s="4">
        <f t="shared" si="1"/>
        <v>3.40203843489352</v>
      </c>
      <c r="C45" s="4">
        <f t="shared" si="2"/>
        <v>10.310994347148197</v>
      </c>
      <c r="D45" s="4">
        <f t="shared" si="0"/>
        <v>190.87796424463593</v>
      </c>
      <c r="E45" s="4">
        <f t="shared" si="3"/>
        <v>184.26206179191044</v>
      </c>
    </row>
    <row r="46" spans="1:15" x14ac:dyDescent="0.4">
      <c r="A46">
        <v>37.25</v>
      </c>
      <c r="B46" s="4">
        <f t="shared" si="1"/>
        <v>3.3982606976171628</v>
      </c>
      <c r="C46" s="4">
        <f t="shared" si="2"/>
        <v>10.259733837742496</v>
      </c>
      <c r="D46" s="4">
        <f t="shared" si="0"/>
        <v>190.94814331805466</v>
      </c>
      <c r="E46" s="4">
        <f t="shared" si="3"/>
        <v>184.36513144003877</v>
      </c>
    </row>
    <row r="47" spans="1:15" x14ac:dyDescent="0.4">
      <c r="A47">
        <v>37.5</v>
      </c>
      <c r="B47" s="4">
        <f t="shared" si="1"/>
        <v>3.3945088531027579</v>
      </c>
      <c r="C47" s="4">
        <f t="shared" si="2"/>
        <v>10.209079115877499</v>
      </c>
      <c r="D47" s="4">
        <f t="shared" si="0"/>
        <v>191.01701659022615</v>
      </c>
      <c r="E47" s="4">
        <f t="shared" si="3"/>
        <v>184.46650659198497</v>
      </c>
    </row>
    <row r="48" spans="1:15" x14ac:dyDescent="0.4">
      <c r="A48">
        <v>37.75</v>
      </c>
      <c r="B48" s="4">
        <f t="shared" si="1"/>
        <v>3.3907825491712638</v>
      </c>
      <c r="C48" s="4">
        <f t="shared" si="2"/>
        <v>10.159019038368854</v>
      </c>
      <c r="D48" s="4">
        <f t="shared" si="0"/>
        <v>191.08461050291956</v>
      </c>
      <c r="E48" s="4">
        <f t="shared" si="3"/>
        <v>184.56622083938348</v>
      </c>
    </row>
    <row r="49" spans="1:5" x14ac:dyDescent="0.4">
      <c r="A49">
        <v>38</v>
      </c>
      <c r="B49" s="4">
        <f t="shared" si="1"/>
        <v>3.3870814407399141</v>
      </c>
      <c r="C49" s="4">
        <f t="shared" si="2"/>
        <v>10.109542739219815</v>
      </c>
      <c r="D49" s="4">
        <f t="shared" si="0"/>
        <v>191.15095081180991</v>
      </c>
      <c r="E49" s="4">
        <f t="shared" si="3"/>
        <v>184.66430690992124</v>
      </c>
    </row>
    <row r="50" spans="1:5" x14ac:dyDescent="0.4">
      <c r="A50">
        <v>38.25</v>
      </c>
      <c r="B50" s="4">
        <f t="shared" si="1"/>
        <v>3.3834051896334718</v>
      </c>
      <c r="C50" s="4">
        <f t="shared" si="2"/>
        <v>10.060639620954733</v>
      </c>
      <c r="D50" s="4">
        <f t="shared" si="0"/>
        <v>191.2160626084459</v>
      </c>
      <c r="E50" s="4">
        <f t="shared" si="3"/>
        <v>184.76079669486592</v>
      </c>
    </row>
    <row r="51" spans="1:5" x14ac:dyDescent="0.4">
      <c r="A51">
        <v>38.5</v>
      </c>
      <c r="B51" s="4">
        <f t="shared" si="1"/>
        <v>3.379753464401726</v>
      </c>
      <c r="C51" s="4">
        <f t="shared" si="2"/>
        <v>10.012299346278471</v>
      </c>
      <c r="D51" s="4">
        <f t="shared" si="0"/>
        <v>191.27997034137871</v>
      </c>
      <c r="E51" s="4">
        <f t="shared" si="3"/>
        <v>184.85572127554673</v>
      </c>
    </row>
    <row r="52" spans="1:5" x14ac:dyDescent="0.4">
      <c r="A52">
        <v>38.75</v>
      </c>
      <c r="B52" s="4">
        <f t="shared" si="1"/>
        <v>3.3761259401429502</v>
      </c>
      <c r="C52" s="4">
        <f t="shared" si="2"/>
        <v>9.9645118300470763</v>
      </c>
      <c r="D52" s="4">
        <f t="shared" si="0"/>
        <v>191.34269783649052</v>
      </c>
      <c r="E52" s="4">
        <f t="shared" si="3"/>
        <v>184.94911094883463</v>
      </c>
    </row>
    <row r="53" spans="1:5" x14ac:dyDescent="0.4">
      <c r="A53">
        <v>39</v>
      </c>
      <c r="B53" s="4">
        <f t="shared" si="1"/>
        <v>3.3725222983331036</v>
      </c>
      <c r="C53" s="4">
        <f t="shared" si="2"/>
        <v>9.9172672315360941</v>
      </c>
      <c r="D53" s="4">
        <f t="shared" si="0"/>
        <v>191.40426831655711</v>
      </c>
      <c r="E53" s="4">
        <f t="shared" si="3"/>
        <v>185.04099525166586</v>
      </c>
    </row>
    <row r="54" spans="1:5" x14ac:dyDescent="0.4">
      <c r="A54">
        <v>39.25</v>
      </c>
      <c r="B54" s="4">
        <f t="shared" si="1"/>
        <v>3.3689422266605629</v>
      </c>
      <c r="C54" s="4">
        <f t="shared" si="2"/>
        <v>9.8705559469939868</v>
      </c>
      <c r="D54" s="4">
        <f t="shared" si="0"/>
        <v>191.46470442007822</v>
      </c>
      <c r="E54" s="4">
        <f t="shared" si="3"/>
        <v>185.13140298465041</v>
      </c>
    </row>
    <row r="55" spans="1:5" x14ac:dyDescent="0.4">
      <c r="A55">
        <v>39.5</v>
      </c>
      <c r="B55" s="4">
        <f t="shared" si="1"/>
        <v>3.3653854188661425</v>
      </c>
      <c r="C55" s="4">
        <f t="shared" si="2"/>
        <v>9.8243686024680379</v>
      </c>
      <c r="D55" s="4">
        <f t="shared" si="0"/>
        <v>191.52402821940774</v>
      </c>
      <c r="E55" s="4">
        <f t="shared" si="3"/>
        <v>185.22036223480515</v>
      </c>
    </row>
    <row r="56" spans="1:5" x14ac:dyDescent="0.4">
      <c r="A56">
        <v>39.75</v>
      </c>
      <c r="B56" s="4">
        <f t="shared" si="1"/>
        <v>3.3618515745882411</v>
      </c>
      <c r="C56" s="4">
        <f t="shared" si="2"/>
        <v>9.7786960468914259</v>
      </c>
      <c r="D56" s="4">
        <f t="shared" si="0"/>
        <v>191.58226123821314</v>
      </c>
      <c r="E56" s="4">
        <f t="shared" si="3"/>
        <v>185.30790039744909</v>
      </c>
    </row>
    <row r="57" spans="1:5" x14ac:dyDescent="0.4">
      <c r="A57">
        <v>40</v>
      </c>
      <c r="B57" s="4">
        <f t="shared" si="1"/>
        <v>3.3583403992128842</v>
      </c>
      <c r="C57" s="4">
        <f t="shared" si="2"/>
        <v>9.7335293454202123</v>
      </c>
      <c r="D57" s="4">
        <f t="shared" si="0"/>
        <v>191.63942446829404</v>
      </c>
      <c r="E57" s="4">
        <f t="shared" si="3"/>
        <v>185.39404419729701</v>
      </c>
    </row>
    <row r="58" spans="1:5" x14ac:dyDescent="0.4">
      <c r="A58">
        <v>40.25</v>
      </c>
      <c r="B58" s="4">
        <f t="shared" si="1"/>
        <v>3.3548516037284908</v>
      </c>
      <c r="C58" s="4">
        <f t="shared" si="2"/>
        <v>9.6888597730096251</v>
      </c>
      <c r="D58" s="4">
        <f t="shared" si="0"/>
        <v>191.69553838578639</v>
      </c>
      <c r="E58" s="4">
        <f t="shared" si="3"/>
        <v>185.47881970878541</v>
      </c>
    </row>
    <row r="59" spans="1:5" x14ac:dyDescent="0.4">
      <c r="A59">
        <v>40.5</v>
      </c>
      <c r="B59" s="4">
        <f t="shared" si="1"/>
        <v>3.3513849045852049</v>
      </c>
      <c r="C59" s="4">
        <f t="shared" si="2"/>
        <v>9.6446788082200072</v>
      </c>
      <c r="D59" s="4">
        <f t="shared" si="0"/>
        <v>191.75062296677871</v>
      </c>
      <c r="E59" s="4">
        <f t="shared" si="3"/>
        <v>185.56225237566298</v>
      </c>
    </row>
    <row r="60" spans="1:5" x14ac:dyDescent="0.4">
      <c r="A60">
        <v>40.75</v>
      </c>
      <c r="B60" s="4">
        <f t="shared" si="1"/>
        <v>3.3479400235585843</v>
      </c>
      <c r="C60" s="4">
        <f t="shared" si="2"/>
        <v>9.6009781272422465</v>
      </c>
      <c r="D60" s="4">
        <f t="shared" si="0"/>
        <v>191.80469770236465</v>
      </c>
      <c r="E60" s="4">
        <f t="shared" si="3"/>
        <v>185.64436702987678</v>
      </c>
    </row>
    <row r="61" spans="1:5" x14ac:dyDescent="0.4">
      <c r="A61">
        <v>41</v>
      </c>
      <c r="B61" s="4">
        <f t="shared" si="1"/>
        <v>3.3445166876175194</v>
      </c>
      <c r="C61" s="4">
        <f t="shared" si="2"/>
        <v>9.557749598134345</v>
      </c>
      <c r="D61" s="4">
        <f t="shared" si="0"/>
        <v>191.85778161315616</v>
      </c>
      <c r="E61" s="4">
        <f t="shared" si="3"/>
        <v>185.72518790978341</v>
      </c>
    </row>
    <row r="62" spans="1:5" x14ac:dyDescent="0.4">
      <c r="A62">
        <v>41.25</v>
      </c>
      <c r="B62" s="4">
        <f t="shared" si="1"/>
        <v>3.341114628796209</v>
      </c>
      <c r="C62" s="4">
        <f t="shared" si="2"/>
        <v>9.5149852752596278</v>
      </c>
      <c r="D62" s="4">
        <f t="shared" si="0"/>
        <v>191.90989326327937</v>
      </c>
      <c r="E62" s="4">
        <f t="shared" si="3"/>
        <v>185.80473867771337</v>
      </c>
    </row>
    <row r="63" spans="1:5" x14ac:dyDescent="0.4">
      <c r="A63">
        <v>41.5</v>
      </c>
      <c r="B63" s="4">
        <f t="shared" si="1"/>
        <v>3.3377335840700457</v>
      </c>
      <c r="C63" s="4">
        <f t="shared" si="2"/>
        <v>9.4726773939191737</v>
      </c>
      <c r="D63" s="4">
        <f t="shared" si="0"/>
        <v>191.96105077387426</v>
      </c>
      <c r="E63" s="4">
        <f t="shared" si="3"/>
        <v>185.88304243691493</v>
      </c>
    </row>
    <row r="64" spans="1:5" x14ac:dyDescent="0.4">
      <c r="A64">
        <v>41.75</v>
      </c>
      <c r="B64" s="4">
        <f t="shared" si="1"/>
        <v>3.3343732952352765</v>
      </c>
      <c r="C64" s="4">
        <f t="shared" si="2"/>
        <v>9.4308183651698894</v>
      </c>
      <c r="D64" s="4">
        <f t="shared" si="0"/>
        <v>192.01127183611899</v>
      </c>
      <c r="E64" s="4">
        <f t="shared" si="3"/>
        <v>185.96012174790343</v>
      </c>
    </row>
    <row r="65" spans="1:5" x14ac:dyDescent="0.4">
      <c r="A65">
        <v>42</v>
      </c>
      <c r="B65" s="4">
        <f t="shared" si="1"/>
        <v>3.3310335087922911</v>
      </c>
      <c r="C65" s="4">
        <f t="shared" si="2"/>
        <v>9.3894007708211404</v>
      </c>
      <c r="D65" s="4">
        <f t="shared" si="0"/>
        <v>192.06057372379834</v>
      </c>
      <c r="E65" s="4">
        <f t="shared" si="3"/>
        <v>186.03599864423978</v>
      </c>
    </row>
    <row r="66" spans="1:5" x14ac:dyDescent="0.4">
      <c r="A66">
        <v>42.25</v>
      </c>
      <c r="B66" s="4">
        <f t="shared" si="1"/>
        <v>3.3277139758324186</v>
      </c>
      <c r="C66" s="4">
        <f t="shared" si="2"/>
        <v>9.3484173586025943</v>
      </c>
      <c r="D66" s="4">
        <f t="shared" si="0"/>
        <v>192.10897330543409</v>
      </c>
      <c r="E66" s="4">
        <f t="shared" si="3"/>
        <v>186.11069464776159</v>
      </c>
    </row>
    <row r="67" spans="1:5" x14ac:dyDescent="0.4">
      <c r="A67">
        <v>42.5</v>
      </c>
      <c r="B67" s="4">
        <f t="shared" si="1"/>
        <v>3.3244144519280958</v>
      </c>
      <c r="C67" s="4">
        <f t="shared" si="2"/>
        <v>9.3078610374965489</v>
      </c>
      <c r="D67" s="4">
        <f t="shared" si="0"/>
        <v>192.15648705599619</v>
      </c>
      <c r="E67" s="4">
        <f t="shared" si="3"/>
        <v>186.18423078328928</v>
      </c>
    </row>
    <row r="68" spans="1:5" x14ac:dyDescent="0.4">
      <c r="A68">
        <v>42.75</v>
      </c>
      <c r="B68" s="4">
        <f t="shared" si="1"/>
        <v>3.3211346970263</v>
      </c>
      <c r="C68" s="4">
        <f t="shared" si="2"/>
        <v>9.2677248732280937</v>
      </c>
      <c r="D68" s="4">
        <f t="shared" si="0"/>
        <v>192.20313106821047</v>
      </c>
      <c r="E68" s="4">
        <f t="shared" si="3"/>
        <v>186.25662759282713</v>
      </c>
    </row>
    <row r="69" spans="1:5" x14ac:dyDescent="0.4">
      <c r="A69">
        <v>43</v>
      </c>
      <c r="B69" s="4">
        <f t="shared" si="1"/>
        <v>3.3178744753451168</v>
      </c>
      <c r="C69" s="4">
        <f t="shared" si="2"/>
        <v>9.2280020839068779</v>
      </c>
      <c r="D69" s="4">
        <f t="shared" si="0"/>
        <v>192.24892106347917</v>
      </c>
      <c r="E69" s="4">
        <f t="shared" si="3"/>
        <v>186.32790514928067</v>
      </c>
    </row>
    <row r="70" spans="1:5" x14ac:dyDescent="0.4">
      <c r="A70">
        <v>43.25</v>
      </c>
      <c r="B70" s="4">
        <f t="shared" si="1"/>
        <v>3.3146335552733466</v>
      </c>
      <c r="C70" s="4">
        <f t="shared" si="2"/>
        <v>9.1886860358148343</v>
      </c>
      <c r="D70" s="4">
        <f t="shared" si="0"/>
        <v>192.29387240243085</v>
      </c>
      <c r="E70" s="4">
        <f t="shared" si="3"/>
        <v>186.39808306970897</v>
      </c>
    </row>
    <row r="71" spans="1:5" x14ac:dyDescent="0.4">
      <c r="A71">
        <v>43.5</v>
      </c>
      <c r="B71" s="4">
        <f t="shared" si="1"/>
        <v>3.3114117092730351</v>
      </c>
      <c r="C71" s="4">
        <f t="shared" si="2"/>
        <v>9.1497702393336713</v>
      </c>
      <c r="D71" s="4">
        <f t="shared" si="0"/>
        <v>192.33800009511236</v>
      </c>
      <c r="E71" s="4">
        <f t="shared" si="3"/>
        <v>186.46718052812997</v>
      </c>
    </row>
    <row r="72" spans="1:5" x14ac:dyDescent="0.4">
      <c r="A72">
        <v>43.75</v>
      </c>
      <c r="B72" s="4">
        <f t="shared" si="1"/>
        <v>3.3082087137848255</v>
      </c>
      <c r="C72" s="4">
        <f t="shared" si="2"/>
        <v>9.1112483450070911</v>
      </c>
      <c r="D72" s="4">
        <f t="shared" si="0"/>
        <v>192.38131881083862</v>
      </c>
      <c r="E72" s="4">
        <f t="shared" si="3"/>
        <v>186.53521626789666</v>
      </c>
    </row>
    <row r="73" spans="1:5" x14ac:dyDescent="0.4">
      <c r="A73">
        <v>44</v>
      </c>
      <c r="B73" s="4">
        <f t="shared" si="1"/>
        <v>3.3050243491360409</v>
      </c>
      <c r="C73" s="4">
        <f t="shared" si="2"/>
        <v>9.0731141397324127</v>
      </c>
      <c r="D73" s="4">
        <f t="shared" si="0"/>
        <v>192.42384288771262</v>
      </c>
      <c r="E73" s="4">
        <f t="shared" si="3"/>
        <v>186.60220861366065</v>
      </c>
    </row>
    <row r="74" spans="1:5" x14ac:dyDescent="0.4">
      <c r="A74">
        <v>44.25</v>
      </c>
      <c r="B74" s="4">
        <f t="shared" si="1"/>
        <v>3.301858399451401</v>
      </c>
      <c r="C74" s="4">
        <f t="shared" si="2"/>
        <v>9.0353615430766965</v>
      </c>
      <c r="D74" s="4">
        <f t="shared" si="0"/>
        <v>192.46558634182861</v>
      </c>
      <c r="E74" s="4">
        <f t="shared" si="3"/>
        <v>186.66817548293935</v>
      </c>
    </row>
    <row r="75" spans="1:5" x14ac:dyDescent="0.4">
      <c r="A75">
        <v>44.5</v>
      </c>
      <c r="B75" s="4">
        <f t="shared" si="1"/>
        <v>3.2987106525662795</v>
      </c>
      <c r="C75" s="4">
        <f t="shared" si="2"/>
        <v>8.9979846037124354</v>
      </c>
      <c r="D75" s="4">
        <f t="shared" si="0"/>
        <v>192.50656287617119</v>
      </c>
      <c r="E75" s="4">
        <f t="shared" si="3"/>
        <v>186.73313439730174</v>
      </c>
    </row>
    <row r="76" spans="1:5" x14ac:dyDescent="0.4">
      <c r="A76">
        <v>44.75</v>
      </c>
      <c r="B76" s="4">
        <f t="shared" si="1"/>
        <v>3.295580899942423</v>
      </c>
      <c r="C76" s="4">
        <f t="shared" si="2"/>
        <v>8.9609774959686472</v>
      </c>
      <c r="D76" s="4">
        <f t="shared" si="0"/>
        <v>192.54678588922118</v>
      </c>
      <c r="E76" s="4">
        <f t="shared" si="3"/>
        <v>186.79710249318731</v>
      </c>
    </row>
    <row r="77" spans="1:5" x14ac:dyDescent="0.4">
      <c r="A77">
        <v>45</v>
      </c>
      <c r="B77" s="4">
        <f t="shared" si="1"/>
        <v>3.2924689365860371</v>
      </c>
      <c r="C77" s="4">
        <f t="shared" si="2"/>
        <v>8.9243345164924932</v>
      </c>
      <c r="D77" s="4">
        <f t="shared" si="0"/>
        <v>192.58626848328007</v>
      </c>
      <c r="E77" s="4">
        <f t="shared" si="3"/>
        <v>186.86009653237258</v>
      </c>
    </row>
    <row r="78" spans="1:5" x14ac:dyDescent="0.4">
      <c r="A78">
        <v>45.25</v>
      </c>
      <c r="B78" s="4">
        <f t="shared" si="1"/>
        <v>3.2893745609681777</v>
      </c>
      <c r="C78" s="4">
        <f t="shared" si="2"/>
        <v>8.8880500810178962</v>
      </c>
      <c r="D78" s="4">
        <f t="shared" si="0"/>
        <v>192.62502347252354</v>
      </c>
      <c r="E78" s="4">
        <f t="shared" si="3"/>
        <v>186.92213291209796</v>
      </c>
    </row>
    <row r="79" spans="1:5" x14ac:dyDescent="0.4">
      <c r="A79">
        <v>45.5</v>
      </c>
      <c r="B79" s="4">
        <f t="shared" si="1"/>
        <v>3.2862975749473473</v>
      </c>
      <c r="C79" s="4">
        <f t="shared" si="2"/>
        <v>8.8521187212365504</v>
      </c>
      <c r="D79" s="4">
        <f t="shared" ref="D79:D142" si="8">$B$6*$B$12/9.81*($B$9*SQRT(2/($B$9-1)*(2/($B$9+1))^(($B$9+1)/($B$9-1))*(1 - (A79/$B$3)^(($B$9-1)/$B$9))) + C79/$B$3*(A79 - $I$8))</f>
        <v>192.66306339079438</v>
      </c>
      <c r="E79" s="4">
        <f t="shared" si="3"/>
        <v>186.98322767486812</v>
      </c>
    </row>
    <row r="80" spans="1:5" x14ac:dyDescent="0.4">
      <c r="A80">
        <v>45.75</v>
      </c>
      <c r="B80" s="4">
        <f t="shared" ref="B80:B143" si="9">SQRT(2/($B$9-1)*((A80/$B$3)^((1-$B$9)/$B$9) - 1))</f>
        <v>3.2832377836942483</v>
      </c>
      <c r="C80" s="4">
        <f t="shared" ref="C80:C143" si="10">1/B80*(2/($B$9+1)*(1 + ($B$9-1)/2*B80^2))^(($B$9+1)/(2*$B$9-2))</f>
        <v>8.816535081768059</v>
      </c>
      <c r="D80" s="4">
        <f t="shared" si="8"/>
        <v>192.70040049914419</v>
      </c>
      <c r="E80" s="4">
        <f t="shared" ref="E80:E143" si="11">$B$6*$B$12/9.81*($B$9*SQRT(2/($B$9-1)*(2/($B$9+1))^(($B$9+1)/($B$9-1))*(1 - (A80/$B$3)^(($B$9-1)/$B$9))) + C80/$B$3*(A80 - $E$4))</f>
        <v>187.04339651793822</v>
      </c>
    </row>
    <row r="81" spans="1:5" x14ac:dyDescent="0.4">
      <c r="A81">
        <v>46</v>
      </c>
      <c r="B81" s="4">
        <f t="shared" si="9"/>
        <v>3.2801949956186038</v>
      </c>
      <c r="C81" s="4">
        <f t="shared" si="10"/>
        <v>8.7812939172252058</v>
      </c>
      <c r="D81" s="4">
        <f t="shared" si="8"/>
        <v>192.73704679313377</v>
      </c>
      <c r="E81" s="4">
        <f t="shared" si="11"/>
        <v>187.10265480249689</v>
      </c>
    </row>
    <row r="82" spans="1:5" x14ac:dyDescent="0.4">
      <c r="A82">
        <v>46.25</v>
      </c>
      <c r="B82" s="4">
        <f t="shared" si="9"/>
        <v>3.2771690222979828</v>
      </c>
      <c r="C82" s="4">
        <f t="shared" si="10"/>
        <v>8.7463900893709869</v>
      </c>
      <c r="D82" s="4">
        <f t="shared" si="8"/>
        <v>192.77301400990106</v>
      </c>
      <c r="E82" s="4">
        <f t="shared" si="11"/>
        <v>187.16101756255864</v>
      </c>
    </row>
    <row r="83" spans="1:5" x14ac:dyDescent="0.4">
      <c r="A83">
        <v>46.5</v>
      </c>
      <c r="B83" s="4">
        <f t="shared" si="9"/>
        <v>3.2741596784085667</v>
      </c>
      <c r="C83" s="4">
        <f t="shared" si="10"/>
        <v>8.7118185643639823</v>
      </c>
      <c r="D83" s="4">
        <f t="shared" si="8"/>
        <v>192.80831363500499</v>
      </c>
      <c r="E83" s="4">
        <f t="shared" si="11"/>
        <v>187.21849951357487</v>
      </c>
    </row>
    <row r="84" spans="1:5" x14ac:dyDescent="0.4">
      <c r="A84">
        <v>46.75</v>
      </c>
      <c r="B84" s="4">
        <f t="shared" si="9"/>
        <v>3.2711667816577972</v>
      </c>
      <c r="C84" s="4">
        <f t="shared" si="10"/>
        <v>8.6775744100891234</v>
      </c>
      <c r="D84" s="4">
        <f t="shared" si="8"/>
        <v>192.8429569090533</v>
      </c>
      <c r="E84" s="4">
        <f t="shared" si="11"/>
        <v>187.2751150607746</v>
      </c>
    </row>
    <row r="85" spans="1:5" x14ac:dyDescent="0.4">
      <c r="A85">
        <v>47</v>
      </c>
      <c r="B85" s="4">
        <f t="shared" si="9"/>
        <v>3.268190152718832</v>
      </c>
      <c r="C85" s="4">
        <f t="shared" si="10"/>
        <v>8.6436527935702703</v>
      </c>
      <c r="D85" s="4">
        <f t="shared" si="8"/>
        <v>192.87695483412321</v>
      </c>
      <c r="E85" s="4">
        <f t="shared" si="11"/>
        <v>187.33087830724531</v>
      </c>
    </row>
    <row r="86" spans="1:5" x14ac:dyDescent="0.4">
      <c r="A86">
        <v>47.25</v>
      </c>
      <c r="B86" s="4">
        <f t="shared" si="9"/>
        <v>3.2652296151667679</v>
      </c>
      <c r="C86" s="4">
        <f t="shared" si="10"/>
        <v>8.6100489784622951</v>
      </c>
      <c r="D86" s="4">
        <f t="shared" si="8"/>
        <v>192.91031817998103</v>
      </c>
      <c r="E86" s="4">
        <f t="shared" si="11"/>
        <v>187.38580306176158</v>
      </c>
    </row>
    <row r="87" spans="1:5" x14ac:dyDescent="0.4">
      <c r="A87">
        <v>47.5</v>
      </c>
      <c r="B87" s="4">
        <f t="shared" si="9"/>
        <v>3.2622849954165574</v>
      </c>
      <c r="C87" s="4">
        <f t="shared" si="10"/>
        <v>8.576758322619245</v>
      </c>
      <c r="D87" s="4">
        <f t="shared" si="8"/>
        <v>192.94305749010945</v>
      </c>
      <c r="E87" s="4">
        <f t="shared" si="11"/>
        <v>187.43990284637286</v>
      </c>
    </row>
    <row r="88" spans="1:5" x14ac:dyDescent="0.4">
      <c r="A88">
        <v>47.75</v>
      </c>
      <c r="B88" s="4">
        <f t="shared" si="9"/>
        <v>3.25935612266258</v>
      </c>
      <c r="C88" s="4">
        <f t="shared" si="10"/>
        <v>8.5437762757362599</v>
      </c>
      <c r="D88" s="4">
        <f t="shared" si="8"/>
        <v>192.97518308754826</v>
      </c>
      <c r="E88" s="4">
        <f t="shared" si="11"/>
        <v>187.4931909037571</v>
      </c>
    </row>
    <row r="89" spans="1:5" x14ac:dyDescent="0.4">
      <c r="A89">
        <v>48</v>
      </c>
      <c r="B89" s="4">
        <f t="shared" si="9"/>
        <v>3.2564428288198033</v>
      </c>
      <c r="C89" s="4">
        <f t="shared" si="10"/>
        <v>8.5110983770625257</v>
      </c>
      <c r="D89" s="4">
        <f t="shared" si="8"/>
        <v>193.00670508055578</v>
      </c>
      <c r="E89" s="4">
        <f t="shared" si="11"/>
        <v>187.54568020434976</v>
      </c>
    </row>
    <row r="90" spans="1:5" x14ac:dyDescent="0.4">
      <c r="A90">
        <v>48.25</v>
      </c>
      <c r="B90" s="4">
        <f t="shared" si="9"/>
        <v>3.2535449484664927</v>
      </c>
      <c r="C90" s="4">
        <f t="shared" si="10"/>
        <v>8.4787202531826988</v>
      </c>
      <c r="D90" s="4">
        <f t="shared" si="8"/>
        <v>193.03763336809749</v>
      </c>
      <c r="E90" s="4">
        <f t="shared" si="11"/>
        <v>187.59738345325593</v>
      </c>
    </row>
    <row r="91" spans="1:5" x14ac:dyDescent="0.4">
      <c r="A91">
        <v>48.5</v>
      </c>
      <c r="B91" s="4">
        <f t="shared" si="9"/>
        <v>3.2506623187884185</v>
      </c>
      <c r="C91" s="4">
        <f t="shared" si="10"/>
        <v>8.4466376158645051</v>
      </c>
      <c r="D91" s="4">
        <f t="shared" si="8"/>
        <v>193.06797764516728</v>
      </c>
      <c r="E91" s="4">
        <f t="shared" si="11"/>
        <v>187.64831309695256</v>
      </c>
    </row>
    <row r="92" spans="1:5" x14ac:dyDescent="0.4">
      <c r="A92">
        <v>48.75</v>
      </c>
      <c r="B92" s="4">
        <f t="shared" si="9"/>
        <v>3.2477947795245101</v>
      </c>
      <c r="C92" s="4">
        <f t="shared" si="10"/>
        <v>8.4148462599701812</v>
      </c>
      <c r="D92" s="4">
        <f t="shared" si="8"/>
        <v>193.09774740794842</v>
      </c>
      <c r="E92" s="4">
        <f t="shared" si="11"/>
        <v>187.69848132978959</v>
      </c>
    </row>
    <row r="93" spans="1:5" x14ac:dyDescent="0.4">
      <c r="A93">
        <v>49</v>
      </c>
      <c r="B93" s="4">
        <f t="shared" si="9"/>
        <v>3.244942172913921</v>
      </c>
      <c r="C93" s="4">
        <f t="shared" si="10"/>
        <v>8.3833420614295537</v>
      </c>
      <c r="D93" s="4">
        <f t="shared" si="8"/>
        <v>193.12695195881832</v>
      </c>
      <c r="E93" s="4">
        <f t="shared" si="11"/>
        <v>187.74790010029523</v>
      </c>
    </row>
    <row r="94" spans="1:5" x14ac:dyDescent="0.4">
      <c r="A94">
        <v>49.25</v>
      </c>
      <c r="B94" s="4">
        <f t="shared" si="9"/>
        <v>3.2421043436444488</v>
      </c>
      <c r="C94" s="4">
        <f t="shared" si="10"/>
        <v>8.3521209752725234</v>
      </c>
      <c r="D94" s="4">
        <f t="shared" si="8"/>
        <v>193.1556004112042</v>
      </c>
      <c r="E94" s="4">
        <f t="shared" si="11"/>
        <v>187.79658111729407</v>
      </c>
    </row>
    <row r="95" spans="1:5" x14ac:dyDescent="0.4">
      <c r="A95">
        <v>49.5</v>
      </c>
      <c r="B95" s="4">
        <f t="shared" si="9"/>
        <v>3.2392811388022835</v>
      </c>
      <c r="C95" s="4">
        <f t="shared" si="10"/>
        <v>8.3211790337191545</v>
      </c>
      <c r="D95" s="4">
        <f t="shared" si="8"/>
        <v>193.18370169429363</v>
      </c>
      <c r="E95" s="4">
        <f t="shared" si="11"/>
        <v>187.84453585584308</v>
      </c>
    </row>
    <row r="96" spans="1:5" x14ac:dyDescent="0.4">
      <c r="A96">
        <v>49.75</v>
      </c>
      <c r="B96" s="4">
        <f t="shared" si="9"/>
        <v>3.2364724078230278</v>
      </c>
      <c r="C96" s="4">
        <f t="shared" si="10"/>
        <v>8.2905123443251441</v>
      </c>
      <c r="D96" s="4">
        <f t="shared" si="8"/>
        <v>193.21126455760501</v>
      </c>
      <c r="E96" s="4">
        <f t="shared" si="11"/>
        <v>187.891775562992</v>
      </c>
    </row>
    <row r="97" spans="1:5" x14ac:dyDescent="0.4">
      <c r="A97">
        <v>50</v>
      </c>
      <c r="B97" s="4">
        <f t="shared" si="9"/>
        <v>3.233678002443964</v>
      </c>
      <c r="C97" s="4">
        <f t="shared" si="10"/>
        <v>8.2601170881810226</v>
      </c>
      <c r="D97" s="4">
        <f t="shared" si="8"/>
        <v>193.23829757542396</v>
      </c>
      <c r="E97" s="4">
        <f t="shared" si="11"/>
        <v>187.93831126337528</v>
      </c>
    </row>
    <row r="98" spans="1:5" x14ac:dyDescent="0.4">
      <c r="A98">
        <v>50.25</v>
      </c>
      <c r="B98" s="4">
        <f t="shared" si="9"/>
        <v>3.2308977766575238</v>
      </c>
      <c r="C98" s="4">
        <f t="shared" si="10"/>
        <v>8.2299895181630482</v>
      </c>
      <c r="D98" s="4">
        <f t="shared" si="8"/>
        <v>193.26480915110884</v>
      </c>
      <c r="E98" s="4">
        <f t="shared" si="11"/>
        <v>187.98415376463979</v>
      </c>
    </row>
    <row r="99" spans="1:5" x14ac:dyDescent="0.4">
      <c r="A99">
        <v>50.5</v>
      </c>
      <c r="B99" s="4">
        <f t="shared" si="9"/>
        <v>3.2281315866659255</v>
      </c>
      <c r="C99" s="4">
        <f t="shared" si="10"/>
        <v>8.2001259572342899</v>
      </c>
      <c r="D99" s="4">
        <f t="shared" si="8"/>
        <v>193.29080752127055</v>
      </c>
      <c r="E99" s="4">
        <f t="shared" si="11"/>
        <v>188.02931366271471</v>
      </c>
    </row>
    <row r="100" spans="1:5" x14ac:dyDescent="0.4">
      <c r="A100">
        <v>50.75</v>
      </c>
      <c r="B100" s="4">
        <f t="shared" si="9"/>
        <v>3.2253792908369414</v>
      </c>
      <c r="C100" s="4">
        <f t="shared" si="10"/>
        <v>8.1705227967940548</v>
      </c>
      <c r="D100" s="4">
        <f t="shared" si="8"/>
        <v>193.31630075983102</v>
      </c>
      <c r="E100" s="4">
        <f t="shared" si="11"/>
        <v>188.07380134692912</v>
      </c>
    </row>
    <row r="101" spans="1:5" x14ac:dyDescent="0.4">
      <c r="A101">
        <v>51</v>
      </c>
      <c r="B101" s="4">
        <f t="shared" si="9"/>
        <v>3.2226407496607643</v>
      </c>
      <c r="C101" s="4">
        <f t="shared" si="10"/>
        <v>8.1411764950740029</v>
      </c>
      <c r="D101" s="4">
        <f t="shared" si="8"/>
        <v>193.34129678196354</v>
      </c>
      <c r="E101" s="4">
        <f t="shared" si="11"/>
        <v>188.11762700498141</v>
      </c>
    </row>
    <row r="102" spans="1:5" x14ac:dyDescent="0.4">
      <c r="A102">
        <v>51.25</v>
      </c>
      <c r="B102" s="4">
        <f t="shared" si="9"/>
        <v>3.219915825707945</v>
      </c>
      <c r="C102" s="4">
        <f t="shared" si="10"/>
        <v>8.1120835755797636</v>
      </c>
      <c r="D102" s="4">
        <f t="shared" si="8"/>
        <v>193.36580334792046</v>
      </c>
      <c r="E102" s="4">
        <f t="shared" si="11"/>
        <v>188.16080062776706</v>
      </c>
    </row>
    <row r="103" spans="1:5" x14ac:dyDescent="0.4">
      <c r="A103">
        <v>51.5</v>
      </c>
      <c r="B103" s="4">
        <f t="shared" si="9"/>
        <v>3.2172043835883604</v>
      </c>
      <c r="C103" s="4">
        <f t="shared" si="10"/>
        <v>8.083240625576007</v>
      </c>
      <c r="D103" s="4">
        <f t="shared" si="8"/>
        <v>193.38982806675034</v>
      </c>
      <c r="E103" s="4">
        <f t="shared" si="11"/>
        <v>188.20333201406754</v>
      </c>
    </row>
    <row r="104" spans="1:5" x14ac:dyDescent="0.4">
      <c r="A104">
        <v>51.75</v>
      </c>
      <c r="B104" s="4">
        <f t="shared" si="9"/>
        <v>3.2145062899111854</v>
      </c>
      <c r="C104" s="4">
        <f t="shared" si="10"/>
        <v>8.0546442946139987</v>
      </c>
      <c r="D104" s="4">
        <f t="shared" si="8"/>
        <v>193.41337839990976</v>
      </c>
      <c r="E104" s="4">
        <f t="shared" si="11"/>
        <v>188.24523077510705</v>
      </c>
    </row>
    <row r="105" spans="1:5" x14ac:dyDescent="0.4">
      <c r="A105">
        <v>52</v>
      </c>
      <c r="B105" s="4">
        <f t="shared" si="9"/>
        <v>3.2118214132458425</v>
      </c>
      <c r="C105" s="4">
        <f t="shared" si="10"/>
        <v>8.026291293100094</v>
      </c>
      <c r="D105" s="4">
        <f t="shared" si="8"/>
        <v>193.43646166477185</v>
      </c>
      <c r="E105" s="4">
        <f t="shared" si="11"/>
        <v>188.28650633897956</v>
      </c>
    </row>
    <row r="106" spans="1:5" x14ac:dyDescent="0.4">
      <c r="A106">
        <v>52.25</v>
      </c>
      <c r="B106" s="4">
        <f t="shared" si="9"/>
        <v>3.2091496240838988</v>
      </c>
      <c r="C106" s="4">
        <f t="shared" si="10"/>
        <v>7.9981783909037789</v>
      </c>
      <c r="D106" s="4">
        <f t="shared" si="8"/>
        <v>193.45908503803602</v>
      </c>
      <c r="E106" s="4">
        <f t="shared" si="11"/>
        <v>188.32716795495165</v>
      </c>
    </row>
    <row r="107" spans="1:5" x14ac:dyDescent="0.4">
      <c r="A107">
        <v>52.5</v>
      </c>
      <c r="B107" s="4">
        <f t="shared" si="9"/>
        <v>3.2064907948018808</v>
      </c>
      <c r="C107" s="4">
        <f t="shared" si="10"/>
        <v>7.9703024160040208</v>
      </c>
      <c r="D107" s="4">
        <f t="shared" si="8"/>
        <v>193.48125555904181</v>
      </c>
      <c r="E107" s="4">
        <f t="shared" si="11"/>
        <v>188.36722469764493</v>
      </c>
    </row>
    <row r="108" spans="1:5" x14ac:dyDescent="0.4">
      <c r="A108">
        <v>52.75</v>
      </c>
      <c r="B108" s="4">
        <f t="shared" si="9"/>
        <v>3.2038447996249801</v>
      </c>
      <c r="C108" s="4">
        <f t="shared" si="10"/>
        <v>7.9426602531728339</v>
      </c>
      <c r="D108" s="4">
        <f t="shared" si="8"/>
        <v>193.50298013298959</v>
      </c>
      <c r="E108" s="4">
        <f t="shared" si="11"/>
        <v>188.40668547110133</v>
      </c>
    </row>
    <row r="109" spans="1:5" x14ac:dyDescent="0.4">
      <c r="A109">
        <v>53</v>
      </c>
      <c r="B109" s="4">
        <f t="shared" si="9"/>
        <v>3.2012115145916318</v>
      </c>
      <c r="C109" s="4">
        <f t="shared" si="10"/>
        <v>7.9152488426945995</v>
      </c>
      <c r="D109" s="4">
        <f t="shared" si="8"/>
        <v>193.52426553407184</v>
      </c>
      <c r="E109" s="4">
        <f t="shared" si="11"/>
        <v>188.44555901273625</v>
      </c>
    </row>
    <row r="110" spans="1:5" x14ac:dyDescent="0.4">
      <c r="A110">
        <v>53.25</v>
      </c>
      <c r="B110" s="4">
        <f t="shared" si="9"/>
        <v>3.1985908175189288</v>
      </c>
      <c r="C110" s="4">
        <f t="shared" si="10"/>
        <v>7.8880651791202236</v>
      </c>
      <c r="D110" s="4">
        <f t="shared" si="8"/>
        <v>193.5451184085172</v>
      </c>
      <c r="E110" s="4">
        <f t="shared" si="11"/>
        <v>188.48385389718189</v>
      </c>
    </row>
    <row r="111" spans="1:5" x14ac:dyDescent="0.4">
      <c r="A111">
        <v>53.5</v>
      </c>
      <c r="B111" s="4">
        <f t="shared" si="9"/>
        <v>3.1959825879688673</v>
      </c>
      <c r="C111" s="4">
        <f t="shared" si="10"/>
        <v>7.8611063100550957</v>
      </c>
      <c r="D111" s="4">
        <f t="shared" si="8"/>
        <v>193.56554527755074</v>
      </c>
      <c r="E111" s="4">
        <f t="shared" si="11"/>
        <v>188.52157854002516</v>
      </c>
    </row>
    <row r="112" spans="1:5" x14ac:dyDescent="0.4">
      <c r="A112">
        <v>53.75</v>
      </c>
      <c r="B112" s="4">
        <f t="shared" si="9"/>
        <v>3.1933867072153674</v>
      </c>
      <c r="C112" s="4">
        <f t="shared" si="10"/>
        <v>7.8343693349792698</v>
      </c>
      <c r="D112" s="4">
        <f t="shared" si="8"/>
        <v>193.58555254027254</v>
      </c>
      <c r="E112" s="4">
        <f t="shared" si="11"/>
        <v>188.5587412014435</v>
      </c>
    </row>
    <row r="113" spans="1:5" x14ac:dyDescent="0.4">
      <c r="A113">
        <v>54</v>
      </c>
      <c r="B113" s="4">
        <f t="shared" si="9"/>
        <v>3.1908030582120905</v>
      </c>
      <c r="C113" s="4">
        <f t="shared" si="10"/>
        <v>7.8078514040996927</v>
      </c>
      <c r="D113" s="4">
        <f t="shared" si="8"/>
        <v>193.60514647645766</v>
      </c>
      <c r="E113" s="4">
        <f t="shared" si="11"/>
        <v>188.5953499897409</v>
      </c>
    </row>
    <row r="114" spans="1:5" x14ac:dyDescent="0.4">
      <c r="A114">
        <v>54.25</v>
      </c>
      <c r="B114" s="4">
        <f t="shared" si="9"/>
        <v>3.1882315255609885</v>
      </c>
      <c r="C114" s="4">
        <f t="shared" si="10"/>
        <v>7.7815497172326209</v>
      </c>
      <c r="D114" s="4">
        <f t="shared" si="8"/>
        <v>193.62433324927974</v>
      </c>
      <c r="E114" s="4">
        <f t="shared" si="11"/>
        <v>188.63141286478901</v>
      </c>
    </row>
    <row r="115" spans="1:5" x14ac:dyDescent="0.4">
      <c r="A115">
        <v>54.5</v>
      </c>
      <c r="B115" s="4">
        <f t="shared" si="9"/>
        <v>3.1856719954816022</v>
      </c>
      <c r="C115" s="4">
        <f t="shared" si="10"/>
        <v>7.7554615227160042</v>
      </c>
      <c r="D115" s="4">
        <f t="shared" si="8"/>
        <v>193.64311890796074</v>
      </c>
      <c r="E115" s="4">
        <f t="shared" si="11"/>
        <v>188.66693764137455</v>
      </c>
    </row>
    <row r="116" spans="1:5" x14ac:dyDescent="0.4">
      <c r="A116">
        <v>54.75</v>
      </c>
      <c r="B116" s="4">
        <f t="shared" si="9"/>
        <v>3.1831243557810485</v>
      </c>
      <c r="C116" s="4">
        <f t="shared" si="10"/>
        <v>7.7295841163502699</v>
      </c>
      <c r="D116" s="4">
        <f t="shared" si="8"/>
        <v>193.66150939034904</v>
      </c>
      <c r="E116" s="4">
        <f t="shared" si="11"/>
        <v>188.70193199245691</v>
      </c>
    </row>
    <row r="117" spans="1:5" x14ac:dyDescent="0.4">
      <c r="A117">
        <v>55</v>
      </c>
      <c r="B117" s="4">
        <f t="shared" si="9"/>
        <v>3.1805884958247184</v>
      </c>
      <c r="C117" s="4">
        <f t="shared" si="10"/>
        <v>7.703914840367176</v>
      </c>
      <c r="D117" s="4">
        <f t="shared" si="8"/>
        <v>193.6795105254283</v>
      </c>
      <c r="E117" s="4">
        <f t="shared" si="11"/>
        <v>188.73640345233886</v>
      </c>
    </row>
    <row r="118" spans="1:5" x14ac:dyDescent="0.4">
      <c r="A118">
        <v>55.25</v>
      </c>
      <c r="B118" s="4">
        <f t="shared" si="9"/>
        <v>3.1780643065076375</v>
      </c>
      <c r="C118" s="4">
        <f t="shared" si="10"/>
        <v>7.6784510824256156</v>
      </c>
      <c r="D118" s="4">
        <f t="shared" si="8"/>
        <v>193.69712803575911</v>
      </c>
      <c r="E118" s="4">
        <f t="shared" si="11"/>
        <v>188.7703594197524</v>
      </c>
    </row>
    <row r="119" spans="1:5" x14ac:dyDescent="0.4">
      <c r="A119">
        <v>55.5</v>
      </c>
      <c r="B119" s="4">
        <f t="shared" si="9"/>
        <v>3.17555168022648</v>
      </c>
      <c r="C119" s="4">
        <f t="shared" si="10"/>
        <v>7.6531902746334408</v>
      </c>
      <c r="D119" s="4">
        <f t="shared" si="8"/>
        <v>193.71436753985546</v>
      </c>
      <c r="E119" s="4">
        <f t="shared" si="11"/>
        <v>188.8038071608629</v>
      </c>
    </row>
    <row r="120" spans="1:5" x14ac:dyDescent="0.4">
      <c r="A120">
        <v>55.75</v>
      </c>
      <c r="B120" s="4">
        <f t="shared" si="9"/>
        <v>3.1730505108522196</v>
      </c>
      <c r="C120" s="4">
        <f t="shared" si="10"/>
        <v>7.6281298925947718</v>
      </c>
      <c r="D120" s="4">
        <f t="shared" si="8"/>
        <v>193.73123455449854</v>
      </c>
      <c r="E120" s="4">
        <f t="shared" si="11"/>
        <v>188.83675381219413</v>
      </c>
    </row>
    <row r="121" spans="1:5" x14ac:dyDescent="0.4">
      <c r="A121">
        <v>56</v>
      </c>
      <c r="B121" s="4">
        <f t="shared" si="9"/>
        <v>3.1705606937034028</v>
      </c>
      <c r="C121" s="4">
        <f t="shared" si="10"/>
        <v>7.6032674544818919</v>
      </c>
      <c r="D121" s="4">
        <f t="shared" si="8"/>
        <v>193.74773449698881</v>
      </c>
      <c r="E121" s="4">
        <f t="shared" si="11"/>
        <v>188.86920638347596</v>
      </c>
    </row>
    <row r="122" spans="1:5" x14ac:dyDescent="0.4">
      <c r="A122">
        <v>56.25</v>
      </c>
      <c r="B122" s="4">
        <f t="shared" si="9"/>
        <v>3.1680821255200158</v>
      </c>
      <c r="C122" s="4">
        <f t="shared" si="10"/>
        <v>7.5786005201308937</v>
      </c>
      <c r="D122" s="4">
        <f t="shared" si="8"/>
        <v>193.76387268733936</v>
      </c>
      <c r="E122" s="4">
        <f t="shared" si="11"/>
        <v>188.90117176041778</v>
      </c>
    </row>
    <row r="123" spans="1:5" x14ac:dyDescent="0.4">
      <c r="A123">
        <v>56.5</v>
      </c>
      <c r="B123" s="4">
        <f t="shared" si="9"/>
        <v>3.1656147044379455</v>
      </c>
      <c r="C123" s="4">
        <f t="shared" si="10"/>
        <v>7.554126690160599</v>
      </c>
      <c r="D123" s="4">
        <f t="shared" si="8"/>
        <v>193.77965435041148</v>
      </c>
      <c r="E123" s="4">
        <f t="shared" si="11"/>
        <v>188.93265670740962</v>
      </c>
    </row>
    <row r="124" spans="1:5" x14ac:dyDescent="0.4">
      <c r="A124">
        <v>56.75</v>
      </c>
      <c r="B124" s="4">
        <f t="shared" si="9"/>
        <v>3.163158329964002</v>
      </c>
      <c r="C124" s="4">
        <f t="shared" si="10"/>
        <v>7.5298436051137561</v>
      </c>
      <c r="D124" s="4">
        <f t="shared" si="8"/>
        <v>193.79508461799475</v>
      </c>
      <c r="E124" s="4">
        <f t="shared" si="11"/>
        <v>188.96366787015319</v>
      </c>
    </row>
    <row r="125" spans="1:5" x14ac:dyDescent="0.4">
      <c r="A125">
        <v>57</v>
      </c>
      <c r="B125" s="4">
        <f t="shared" si="9"/>
        <v>3.1607129029515084</v>
      </c>
      <c r="C125" s="4">
        <f t="shared" si="10"/>
        <v>7.5057489446202306</v>
      </c>
      <c r="D125" s="4">
        <f t="shared" si="8"/>
        <v>193.81016853083295</v>
      </c>
      <c r="E125" s="4">
        <f t="shared" si="11"/>
        <v>188.99421177822461</v>
      </c>
    </row>
    <row r="126" spans="1:5" x14ac:dyDescent="0.4">
      <c r="A126">
        <v>57.25</v>
      </c>
      <c r="B126" s="4">
        <f t="shared" si="9"/>
        <v>3.1582783255764135</v>
      </c>
      <c r="C126" s="4">
        <f t="shared" si="10"/>
        <v>7.481840426581071</v>
      </c>
      <c r="D126" s="4">
        <f t="shared" si="8"/>
        <v>193.8249110405977</v>
      </c>
      <c r="E126" s="4">
        <f t="shared" si="11"/>
        <v>189.02429484757178</v>
      </c>
    </row>
    <row r="127" spans="1:5" x14ac:dyDescent="0.4">
      <c r="A127">
        <v>57.5</v>
      </c>
      <c r="B127" s="4">
        <f t="shared" si="9"/>
        <v>3.1558545013139496</v>
      </c>
      <c r="C127" s="4">
        <f t="shared" si="10"/>
        <v>7.4581158063733364</v>
      </c>
      <c r="D127" s="4">
        <f t="shared" si="8"/>
        <v>193.83931701181115</v>
      </c>
      <c r="E127" s="4">
        <f t="shared" si="11"/>
        <v>189.05392338294709</v>
      </c>
    </row>
    <row r="128" spans="1:5" x14ac:dyDescent="0.4">
      <c r="A128">
        <v>57.75</v>
      </c>
      <c r="B128" s="4">
        <f t="shared" si="9"/>
        <v>3.1534413349157853</v>
      </c>
      <c r="C128" s="4">
        <f t="shared" si="10"/>
        <v>7.4345728760745686</v>
      </c>
      <c r="D128" s="4">
        <f t="shared" si="8"/>
        <v>193.8533912237196</v>
      </c>
      <c r="E128" s="4">
        <f t="shared" si="11"/>
        <v>189.08310358027887</v>
      </c>
    </row>
    <row r="129" spans="1:5" x14ac:dyDescent="0.4">
      <c r="A129">
        <v>58</v>
      </c>
      <c r="B129" s="4">
        <f t="shared" si="9"/>
        <v>3.1510387323876863</v>
      </c>
      <c r="C129" s="4">
        <f t="shared" si="10"/>
        <v>7.4112094637068289</v>
      </c>
      <c r="D129" s="4">
        <f t="shared" si="8"/>
        <v>193.86713837211903</v>
      </c>
      <c r="E129" s="4">
        <f t="shared" si="11"/>
        <v>189.1118415289817</v>
      </c>
    </row>
    <row r="130" spans="1:5" x14ac:dyDescent="0.4">
      <c r="A130">
        <v>58.25</v>
      </c>
      <c r="B130" s="4">
        <f t="shared" si="9"/>
        <v>3.1486466009676639</v>
      </c>
      <c r="C130" s="4">
        <f t="shared" si="10"/>
        <v>7.3880234324993728</v>
      </c>
      <c r="D130" s="4">
        <f t="shared" si="8"/>
        <v>193.88056307113425</v>
      </c>
      <c r="E130" s="4">
        <f t="shared" si="11"/>
        <v>189.1401432142089</v>
      </c>
    </row>
    <row r="131" spans="1:5" x14ac:dyDescent="0.4">
      <c r="A131">
        <v>58.5</v>
      </c>
      <c r="B131" s="4">
        <f t="shared" si="9"/>
        <v>3.1462648491045857</v>
      </c>
      <c r="C131" s="4">
        <f t="shared" si="10"/>
        <v>7.3650126801694817</v>
      </c>
      <c r="D131" s="4">
        <f t="shared" si="8"/>
        <v>193.89366985495317</v>
      </c>
      <c r="E131" s="4">
        <f t="shared" si="11"/>
        <v>189.16801451904811</v>
      </c>
    </row>
    <row r="132" spans="1:5" x14ac:dyDescent="0.4">
      <c r="A132">
        <v>58.75</v>
      </c>
      <c r="B132" s="4">
        <f t="shared" si="9"/>
        <v>3.1438933864372611</v>
      </c>
      <c r="C132" s="4">
        <f t="shared" si="10"/>
        <v>7.3421751382211733</v>
      </c>
      <c r="D132" s="4">
        <f t="shared" si="8"/>
        <v>193.90646317951743</v>
      </c>
      <c r="E132" s="4">
        <f t="shared" si="11"/>
        <v>189.19546122666188</v>
      </c>
    </row>
    <row r="133" spans="1:5" x14ac:dyDescent="0.4">
      <c r="A133">
        <v>59</v>
      </c>
      <c r="B133" s="4">
        <f t="shared" si="9"/>
        <v>3.1415321237739642</v>
      </c>
      <c r="C133" s="4">
        <f t="shared" si="10"/>
        <v>7.3195087712608924</v>
      </c>
      <c r="D133" s="4">
        <f t="shared" si="8"/>
        <v>193.91894742416994</v>
      </c>
      <c r="E133" s="4">
        <f t="shared" si="11"/>
        <v>189.22248902237436</v>
      </c>
    </row>
    <row r="134" spans="1:5" x14ac:dyDescent="0.4">
      <c r="A134">
        <v>59.25</v>
      </c>
      <c r="B134" s="4">
        <f t="shared" si="9"/>
        <v>3.1391809730723996</v>
      </c>
      <c r="C134" s="4">
        <f t="shared" si="10"/>
        <v>7.2970115763300223</v>
      </c>
      <c r="D134" s="4">
        <f t="shared" si="8"/>
        <v>193.93112689326199</v>
      </c>
      <c r="E134" s="4">
        <f t="shared" si="11"/>
        <v>189.24910349570669</v>
      </c>
    </row>
    <row r="135" spans="1:5" x14ac:dyDescent="0.4">
      <c r="A135">
        <v>59.5</v>
      </c>
      <c r="B135" s="4">
        <f t="shared" si="9"/>
        <v>3.1368398474200943</v>
      </c>
      <c r="C135" s="4">
        <f t="shared" si="10"/>
        <v>7.2746815822535469</v>
      </c>
      <c r="D135" s="4">
        <f t="shared" si="8"/>
        <v>193.94300581772004</v>
      </c>
      <c r="E135" s="4">
        <f t="shared" si="11"/>
        <v>189.27531014236163</v>
      </c>
    </row>
    <row r="136" spans="1:5" x14ac:dyDescent="0.4">
      <c r="A136">
        <v>59.75</v>
      </c>
      <c r="B136" s="4">
        <f t="shared" si="9"/>
        <v>3.1345086610152051</v>
      </c>
      <c r="C136" s="4">
        <f t="shared" si="10"/>
        <v>7.2525168490045182</v>
      </c>
      <c r="D136" s="4">
        <f t="shared" si="8"/>
        <v>193.95458835657328</v>
      </c>
      <c r="E136" s="4">
        <f t="shared" si="11"/>
        <v>189.30111436615908</v>
      </c>
    </row>
    <row r="137" spans="1:5" x14ac:dyDescent="0.4">
      <c r="A137">
        <v>60</v>
      </c>
      <c r="B137" s="4">
        <f t="shared" si="9"/>
        <v>3.1321873291477309</v>
      </c>
      <c r="C137" s="4">
        <f t="shared" si="10"/>
        <v>7.230515467083789</v>
      </c>
      <c r="D137" s="4">
        <f t="shared" si="8"/>
        <v>193.96587859844425</v>
      </c>
      <c r="E137" s="4">
        <f t="shared" si="11"/>
        <v>189.32652148092436</v>
      </c>
    </row>
    <row r="138" spans="1:5" x14ac:dyDescent="0.4">
      <c r="A138">
        <v>60.25</v>
      </c>
      <c r="B138" s="4">
        <f t="shared" si="9"/>
        <v>3.129875768181118</v>
      </c>
      <c r="C138" s="4">
        <f t="shared" si="10"/>
        <v>7.2086755569146552</v>
      </c>
      <c r="D138" s="4">
        <f t="shared" si="8"/>
        <v>193.97688056300188</v>
      </c>
      <c r="E138" s="4">
        <f t="shared" si="11"/>
        <v>189.35153671233007</v>
      </c>
    </row>
    <row r="139" spans="1:5" x14ac:dyDescent="0.4">
      <c r="A139">
        <v>60.5</v>
      </c>
      <c r="B139" s="4">
        <f t="shared" si="9"/>
        <v>3.127573895534252</v>
      </c>
      <c r="C139" s="4">
        <f t="shared" si="10"/>
        <v>7.186995268251902</v>
      </c>
      <c r="D139" s="4">
        <f t="shared" si="8"/>
        <v>193.98759820237979</v>
      </c>
      <c r="E139" s="4">
        <f t="shared" si="11"/>
        <v>189.37616519969316</v>
      </c>
    </row>
    <row r="140" spans="1:5" x14ac:dyDescent="0.4">
      <c r="A140">
        <v>60.75</v>
      </c>
      <c r="B140" s="4">
        <f t="shared" si="9"/>
        <v>3.1252816296638253</v>
      </c>
      <c r="C140" s="4">
        <f t="shared" si="10"/>
        <v>7.1654727796050048</v>
      </c>
      <c r="D140" s="4">
        <f t="shared" si="8"/>
        <v>193.99803540255905</v>
      </c>
      <c r="E140" s="4">
        <f t="shared" si="11"/>
        <v>189.40041199772824</v>
      </c>
    </row>
    <row r="141" spans="1:5" x14ac:dyDescent="0.4">
      <c r="A141">
        <v>61</v>
      </c>
      <c r="B141" s="4">
        <f t="shared" si="9"/>
        <v>3.122998890047072</v>
      </c>
      <c r="C141" s="4">
        <f t="shared" si="10"/>
        <v>7.144106297674937</v>
      </c>
      <c r="D141" s="4">
        <f t="shared" si="8"/>
        <v>194.00819598471838</v>
      </c>
      <c r="E141" s="4">
        <f t="shared" si="11"/>
        <v>189.42428207825876</v>
      </c>
    </row>
    <row r="142" spans="1:5" x14ac:dyDescent="0.4">
      <c r="A142">
        <v>61.25</v>
      </c>
      <c r="B142" s="4">
        <f t="shared" si="9"/>
        <v>3.120725597164852</v>
      </c>
      <c r="C142" s="4">
        <f t="shared" si="10"/>
        <v>7.122894056804201</v>
      </c>
      <c r="D142" s="4">
        <f t="shared" si="8"/>
        <v>194.01808370655058</v>
      </c>
      <c r="E142" s="4">
        <f t="shared" si="11"/>
        <v>189.44778033188641</v>
      </c>
    </row>
    <row r="143" spans="1:5" x14ac:dyDescent="0.4">
      <c r="A143">
        <v>61.5</v>
      </c>
      <c r="B143" s="4">
        <f t="shared" si="9"/>
        <v>3.1184616724850969</v>
      </c>
      <c r="C143" s="4">
        <f t="shared" si="10"/>
        <v>7.1018343184399635</v>
      </c>
      <c r="D143" s="4">
        <f t="shared" ref="D143:D206" si="12">$B$6*$B$12/9.81*($B$9*SQRT(2/($B$9-1)*(2/($B$9+1))^(($B$9+1)/($B$9-1))*(1 - (A143/$B$3)^(($B$9-1)/$B$9))) + C143/$B$3*(A143 - $I$8))</f>
        <v>194.02770226354809</v>
      </c>
      <c r="E143" s="4">
        <f t="shared" si="11"/>
        <v>189.47091156962125</v>
      </c>
    </row>
    <row r="144" spans="1:5" x14ac:dyDescent="0.4">
      <c r="A144">
        <v>61.75</v>
      </c>
      <c r="B144" s="4">
        <f t="shared" ref="B144:B207" si="13">SQRT(2/($B$9-1)*((A144/$B$3)^((1-$B$9)/$B$9) - 1))</f>
        <v>3.1162070384465816</v>
      </c>
      <c r="C144" s="4">
        <f t="shared" ref="C144:C207" si="14">1/B144*(2/($B$9+1)*(1 + ($B$9-1)/2*B144^2))^(($B$9+1)/(2*$B$9-2))</f>
        <v>7.0809253706095818</v>
      </c>
      <c r="D144" s="4">
        <f t="shared" si="12"/>
        <v>194.03705529025711</v>
      </c>
      <c r="E144" s="4">
        <f t="shared" ref="E144:E207" si="15">$B$6*$B$12/9.81*($B$9*SQRT(2/($B$9-1)*(2/($B$9+1))^(($B$9+1)/($B$9-1))*(1 - (A144/$B$3)^(($B$9-1)/$B$9))) + C144/$B$3*(A144 - $E$4))</f>
        <v>189.49368052447241</v>
      </c>
    </row>
    <row r="145" spans="1:5" x14ac:dyDescent="0.4">
      <c r="A145">
        <v>62</v>
      </c>
      <c r="B145" s="4">
        <f t="shared" si="13"/>
        <v>3.1139616184430343</v>
      </c>
      <c r="C145" s="4">
        <f t="shared" si="14"/>
        <v>7.0601655274084081</v>
      </c>
      <c r="D145" s="4">
        <f t="shared" si="12"/>
        <v>194.04614636150205</v>
      </c>
      <c r="E145" s="4">
        <f t="shared" si="15"/>
        <v>189.51609185300083</v>
      </c>
    </row>
    <row r="146" spans="1:5" x14ac:dyDescent="0.4">
      <c r="A146">
        <v>62.25</v>
      </c>
      <c r="B146" s="4">
        <f t="shared" si="13"/>
        <v>3.1117253368075706</v>
      </c>
      <c r="C146" s="4">
        <f t="shared" si="14"/>
        <v>7.0395531284995432</v>
      </c>
      <c r="D146" s="4">
        <f t="shared" si="12"/>
        <v>194.05497899358051</v>
      </c>
      <c r="E146" s="4">
        <f t="shared" si="15"/>
        <v>189.5381501368357</v>
      </c>
    </row>
    <row r="147" spans="1:5" x14ac:dyDescent="0.4">
      <c r="A147">
        <v>62.5</v>
      </c>
      <c r="B147" s="4">
        <f t="shared" si="13"/>
        <v>3.1094981187974393</v>
      </c>
      <c r="C147" s="4">
        <f t="shared" si="14"/>
        <v>7.0190865386250954</v>
      </c>
      <c r="D147" s="4">
        <f t="shared" si="12"/>
        <v>194.06355664543003</v>
      </c>
      <c r="E147" s="4">
        <f t="shared" si="15"/>
        <v>189.55985988415446</v>
      </c>
    </row>
    <row r="148" spans="1:5" x14ac:dyDescent="0.4">
      <c r="A148">
        <v>62.75</v>
      </c>
      <c r="B148" s="4">
        <f t="shared" si="13"/>
        <v>3.1072798905790773</v>
      </c>
      <c r="C148" s="4">
        <f t="shared" si="14"/>
        <v>6.9987641471286759</v>
      </c>
      <c r="D148" s="4">
        <f t="shared" si="12"/>
        <v>194.07188271976747</v>
      </c>
      <c r="E148" s="4">
        <f t="shared" si="15"/>
        <v>189.58122553112858</v>
      </c>
    </row>
    <row r="149" spans="1:5" x14ac:dyDescent="0.4">
      <c r="A149">
        <v>63</v>
      </c>
      <c r="B149" s="4">
        <f t="shared" si="13"/>
        <v>3.1050705792134665</v>
      </c>
      <c r="C149" s="4">
        <f t="shared" si="14"/>
        <v>6.9785843674889536</v>
      </c>
      <c r="D149" s="4">
        <f t="shared" si="12"/>
        <v>194.07996056420103</v>
      </c>
      <c r="E149" s="4">
        <f t="shared" si="15"/>
        <v>189.60225144333515</v>
      </c>
    </row>
    <row r="150" spans="1:5" x14ac:dyDescent="0.4">
      <c r="A150">
        <v>63.25</v>
      </c>
      <c r="B150" s="4">
        <f t="shared" si="13"/>
        <v>3.1028701126417779</v>
      </c>
      <c r="C150" s="4">
        <f t="shared" si="14"/>
        <v>6.9585456368637058</v>
      </c>
      <c r="D150" s="4">
        <f t="shared" si="12"/>
        <v>194.08779347231652</v>
      </c>
      <c r="E150" s="4">
        <f t="shared" si="15"/>
        <v>189.62294191713534</v>
      </c>
    </row>
    <row r="151" spans="1:5" x14ac:dyDescent="0.4">
      <c r="A151">
        <v>63.5</v>
      </c>
      <c r="B151" s="4">
        <f t="shared" si="13"/>
        <v>3.1006784196713135</v>
      </c>
      <c r="C151" s="4">
        <f t="shared" si="14"/>
        <v>6.9386464156444472</v>
      </c>
      <c r="D151" s="4">
        <f t="shared" si="12"/>
        <v>194.09538468473835</v>
      </c>
      <c r="E151" s="4">
        <f t="shared" si="15"/>
        <v>189.64330118102143</v>
      </c>
    </row>
    <row r="152" spans="1:5" x14ac:dyDescent="0.4">
      <c r="A152">
        <v>63.75</v>
      </c>
      <c r="B152" s="4">
        <f t="shared" si="13"/>
        <v>3.0984954299617136</v>
      </c>
      <c r="C152" s="4">
        <f t="shared" si="14"/>
        <v>6.9188851870209458</v>
      </c>
      <c r="D152" s="4">
        <f t="shared" si="12"/>
        <v>194.10273739016534</v>
      </c>
      <c r="E152" s="4">
        <f t="shared" si="15"/>
        <v>189.66333339693185</v>
      </c>
    </row>
    <row r="153" spans="1:5" x14ac:dyDescent="0.4">
      <c r="A153">
        <v>64</v>
      </c>
      <c r="B153" s="4">
        <f t="shared" si="13"/>
        <v>3.0963210740114451</v>
      </c>
      <c r="C153" s="4">
        <f t="shared" si="14"/>
        <v>6.8992604565557176</v>
      </c>
      <c r="D153" s="4">
        <f t="shared" si="12"/>
        <v>194.10985472638325</v>
      </c>
      <c r="E153" s="4">
        <f t="shared" si="15"/>
        <v>189.6830426615368</v>
      </c>
    </row>
    <row r="154" spans="1:5" x14ac:dyDescent="0.4">
      <c r="A154">
        <v>64.25</v>
      </c>
      <c r="B154" s="4">
        <f t="shared" si="13"/>
        <v>3.0941552831445573</v>
      </c>
      <c r="C154" s="4">
        <f t="shared" si="14"/>
        <v>6.8797707517680458</v>
      </c>
      <c r="D154" s="4">
        <f t="shared" si="12"/>
        <v>194.11673978125273</v>
      </c>
      <c r="E154" s="4">
        <f t="shared" si="15"/>
        <v>189.70243300749331</v>
      </c>
    </row>
    <row r="155" spans="1:5" x14ac:dyDescent="0.4">
      <c r="A155">
        <v>64.5</v>
      </c>
      <c r="B155" s="4">
        <f t="shared" si="13"/>
        <v>3.0919979894976888</v>
      </c>
      <c r="C155" s="4">
        <f t="shared" si="14"/>
        <v>6.8604146217272985</v>
      </c>
      <c r="D155" s="4">
        <f t="shared" si="12"/>
        <v>194.12339559367595</v>
      </c>
      <c r="E155" s="4">
        <f t="shared" si="15"/>
        <v>189.72150840467239</v>
      </c>
    </row>
    <row r="156" spans="1:5" x14ac:dyDescent="0.4">
      <c r="A156">
        <v>64.75</v>
      </c>
      <c r="B156" s="4">
        <f t="shared" si="13"/>
        <v>3.0898491260073402</v>
      </c>
      <c r="C156" s="4">
        <f t="shared" si="14"/>
        <v>6.8411906366553596</v>
      </c>
      <c r="D156" s="4">
        <f t="shared" si="12"/>
        <v>194.12982515453984</v>
      </c>
      <c r="E156" s="4">
        <f t="shared" si="15"/>
        <v>189.7402727613578</v>
      </c>
    </row>
    <row r="157" spans="1:5" x14ac:dyDescent="0.4">
      <c r="A157">
        <v>65</v>
      </c>
      <c r="B157" s="4">
        <f t="shared" si="13"/>
        <v>3.0877086263973861</v>
      </c>
      <c r="C157" s="4">
        <f t="shared" si="14"/>
        <v>6.822097387537891</v>
      </c>
      <c r="D157" s="4">
        <f t="shared" si="12"/>
        <v>194.1360314076386</v>
      </c>
      <c r="E157" s="4">
        <f t="shared" si="15"/>
        <v>189.75872992541761</v>
      </c>
    </row>
    <row r="158" spans="1:5" x14ac:dyDescent="0.4">
      <c r="A158">
        <v>65.25</v>
      </c>
      <c r="B158" s="4">
        <f t="shared" si="13"/>
        <v>3.085576425166829</v>
      </c>
      <c r="C158" s="4">
        <f t="shared" si="14"/>
        <v>6.8031334857441781</v>
      </c>
      <c r="D158" s="4">
        <f t="shared" si="12"/>
        <v>194.14201725057453</v>
      </c>
      <c r="E158" s="4">
        <f t="shared" si="15"/>
        <v>189.77688368544923</v>
      </c>
    </row>
    <row r="159" spans="1:5" x14ac:dyDescent="0.4">
      <c r="A159">
        <v>65.5</v>
      </c>
      <c r="B159" s="4">
        <f t="shared" si="13"/>
        <v>3.0834524575777977</v>
      </c>
      <c r="C159" s="4">
        <f t="shared" si="14"/>
        <v>6.7842975626553654</v>
      </c>
      <c r="D159" s="4">
        <f t="shared" si="12"/>
        <v>194.14778553563906</v>
      </c>
      <c r="E159" s="4">
        <f t="shared" si="15"/>
        <v>189.79473777189887</v>
      </c>
    </row>
    <row r="160" spans="1:5" x14ac:dyDescent="0.4">
      <c r="A160">
        <v>65.75</v>
      </c>
      <c r="B160" s="4">
        <f t="shared" si="13"/>
        <v>3.0813366596437697</v>
      </c>
      <c r="C160" s="4">
        <f t="shared" si="14"/>
        <v>6.7655882693009213</v>
      </c>
      <c r="D160" s="4">
        <f t="shared" si="12"/>
        <v>194.15333907067338</v>
      </c>
      <c r="E160" s="4">
        <f t="shared" si="15"/>
        <v>189.81229585815541</v>
      </c>
    </row>
    <row r="161" spans="1:6" x14ac:dyDescent="0.4">
      <c r="A161">
        <v>66</v>
      </c>
      <c r="B161" s="4">
        <f t="shared" si="13"/>
        <v>3.07922896811802</v>
      </c>
      <c r="C161" s="4">
        <f t="shared" si="14"/>
        <v>6.7470042760029756</v>
      </c>
      <c r="D161" s="4">
        <f t="shared" si="12"/>
        <v>194.15868061990994</v>
      </c>
      <c r="E161" s="4">
        <f t="shared" si="15"/>
        <v>189.82956156162015</v>
      </c>
    </row>
    <row r="162" spans="1:6" x14ac:dyDescent="0.4">
      <c r="A162">
        <v>66.25</v>
      </c>
      <c r="B162" s="4">
        <f t="shared" si="13"/>
        <v>3.0771293204822934</v>
      </c>
      <c r="C162" s="4">
        <f t="shared" si="14"/>
        <v>6.7285442720284845</v>
      </c>
      <c r="D162" s="4">
        <f t="shared" si="12"/>
        <v>194.16381290479501</v>
      </c>
      <c r="E162" s="4">
        <f t="shared" si="15"/>
        <v>189.84653844475253</v>
      </c>
    </row>
    <row r="163" spans="1:6" x14ac:dyDescent="0.4">
      <c r="A163">
        <v>66.5</v>
      </c>
      <c r="B163" s="4">
        <f t="shared" si="13"/>
        <v>3.075037654935691</v>
      </c>
      <c r="C163" s="4">
        <f t="shared" si="14"/>
        <v>6.7102069652489016</v>
      </c>
      <c r="D163" s="4">
        <f t="shared" si="12"/>
        <v>194.16873860479282</v>
      </c>
      <c r="E163" s="4">
        <f t="shared" si="15"/>
        <v>189.86323001609259</v>
      </c>
    </row>
    <row r="164" spans="1:6" x14ac:dyDescent="0.4">
      <c r="A164">
        <v>66.75</v>
      </c>
      <c r="B164" s="4">
        <f t="shared" si="13"/>
        <v>3.0729539103837697</v>
      </c>
      <c r="C164" s="4">
        <f t="shared" si="14"/>
        <v>6.6919910818072843</v>
      </c>
      <c r="D164" s="4">
        <f t="shared" si="12"/>
        <v>194.17346035817167</v>
      </c>
      <c r="E164" s="4">
        <f t="shared" si="15"/>
        <v>189.87963973126082</v>
      </c>
    </row>
    <row r="165" spans="1:6" x14ac:dyDescent="0.4">
      <c r="A165">
        <v>67</v>
      </c>
      <c r="B165" s="4">
        <f t="shared" si="13"/>
        <v>3.0708780264278408</v>
      </c>
      <c r="C165" s="4">
        <f t="shared" si="14"/>
        <v>6.6738953657924895</v>
      </c>
      <c r="D165" s="4">
        <f t="shared" si="12"/>
        <v>194.17798076277305</v>
      </c>
      <c r="E165" s="4">
        <f t="shared" si="15"/>
        <v>189.89577099393617</v>
      </c>
    </row>
    <row r="166" spans="1:6" x14ac:dyDescent="0.4">
      <c r="A166">
        <v>67.25</v>
      </c>
      <c r="B166" s="4">
        <f t="shared" si="13"/>
        <v>3.068809943354478</v>
      </c>
      <c r="C166" s="4">
        <f t="shared" si="14"/>
        <v>6.6559185789204411</v>
      </c>
      <c r="D166" s="4">
        <f t="shared" si="12"/>
        <v>194.18230237676318</v>
      </c>
      <c r="E166" s="4">
        <f t="shared" si="15"/>
        <v>189.91162715681213</v>
      </c>
    </row>
    <row r="167" spans="1:6" x14ac:dyDescent="0.4">
      <c r="A167">
        <v>67.5</v>
      </c>
      <c r="B167" s="4">
        <f t="shared" si="13"/>
        <v>3.0667496021252174</v>
      </c>
      <c r="C167" s="4">
        <f t="shared" si="14"/>
        <v>6.6380595002221838</v>
      </c>
      <c r="D167" s="4">
        <f t="shared" si="12"/>
        <v>194.18642771936817</v>
      </c>
      <c r="E167" s="4">
        <f t="shared" si="15"/>
        <v>189.92721152253219</v>
      </c>
    </row>
    <row r="168" spans="1:6" x14ac:dyDescent="0.4">
      <c r="A168">
        <v>67.75</v>
      </c>
      <c r="B168" s="4">
        <f t="shared" si="13"/>
        <v>3.0646969443664522</v>
      </c>
      <c r="C168" s="4">
        <f t="shared" si="14"/>
        <v>6.6203169257386278</v>
      </c>
      <c r="D168" s="4">
        <f t="shared" si="12"/>
        <v>194.19035927159334</v>
      </c>
      <c r="E168" s="4">
        <f t="shared" si="15"/>
        <v>189.94252734460483</v>
      </c>
    </row>
    <row r="169" spans="1:6" x14ac:dyDescent="0.4">
      <c r="A169">
        <v>68</v>
      </c>
      <c r="B169" s="4">
        <f t="shared" si="13"/>
        <v>3.0626519123595135</v>
      </c>
      <c r="C169" s="4">
        <f t="shared" si="14"/>
        <v>6.6026896682217195</v>
      </c>
      <c r="D169" s="4">
        <f t="shared" si="12"/>
        <v>194.19409947692645</v>
      </c>
      <c r="E169" s="4">
        <f t="shared" si="15"/>
        <v>189.95757782829855</v>
      </c>
    </row>
    <row r="170" spans="1:6" x14ac:dyDescent="0.4">
      <c r="A170">
        <v>68.25</v>
      </c>
      <c r="B170" s="4">
        <f t="shared" si="13"/>
        <v>3.060614449030937</v>
      </c>
      <c r="C170" s="4">
        <f t="shared" si="14"/>
        <v>6.5851765568420317</v>
      </c>
      <c r="D170" s="4">
        <f t="shared" si="12"/>
        <v>194.1976507420257</v>
      </c>
      <c r="E170" s="4">
        <f t="shared" si="15"/>
        <v>189.97236613151756</v>
      </c>
    </row>
    <row r="171" spans="1:6" x14ac:dyDescent="0.4">
      <c r="A171">
        <v>68.5</v>
      </c>
      <c r="B171" s="4">
        <f t="shared" si="13"/>
        <v>3.0585844979429075</v>
      </c>
      <c r="C171" s="4">
        <f t="shared" si="14"/>
        <v>6.567776436902399</v>
      </c>
      <c r="D171" s="4">
        <f t="shared" si="12"/>
        <v>194.20101543739281</v>
      </c>
      <c r="E171" s="4">
        <f t="shared" si="15"/>
        <v>189.9868953656586</v>
      </c>
    </row>
    <row r="172" spans="1:6" x14ac:dyDescent="0.4">
      <c r="A172">
        <v>68.75</v>
      </c>
      <c r="B172" s="4">
        <f t="shared" si="13"/>
        <v>3.0565620032838803</v>
      </c>
      <c r="C172" s="4">
        <f t="shared" si="14"/>
        <v>6.5504881695576822</v>
      </c>
      <c r="D172" s="4">
        <f t="shared" si="12"/>
        <v>194.20419589803151</v>
      </c>
      <c r="E172" s="4">
        <f t="shared" si="15"/>
        <v>190.00116859644908</v>
      </c>
    </row>
    <row r="173" spans="1:6" x14ac:dyDescent="0.4">
      <c r="A173">
        <v>69</v>
      </c>
      <c r="B173" s="4">
        <f t="shared" si="13"/>
        <v>3.054546909859376</v>
      </c>
      <c r="C173" s="4">
        <f t="shared" si="14"/>
        <v>6.5333106315403287</v>
      </c>
      <c r="D173" s="4">
        <f t="shared" si="12"/>
        <v>194.20719442409188</v>
      </c>
      <c r="E173" s="4">
        <f t="shared" si="15"/>
        <v>190.01518884476772</v>
      </c>
    </row>
    <row r="174" spans="1:6" x14ac:dyDescent="0.4">
      <c r="A174">
        <v>69.25</v>
      </c>
      <c r="B174" s="4">
        <f t="shared" si="13"/>
        <v>3.0525391630829413</v>
      </c>
      <c r="C174" s="4">
        <f t="shared" si="14"/>
        <v>6.5162427148917317</v>
      </c>
      <c r="D174" s="4">
        <f t="shared" si="12"/>
        <v>194.21001328150078</v>
      </c>
      <c r="E174" s="4">
        <f t="shared" si="15"/>
        <v>190.02895908744716</v>
      </c>
    </row>
    <row r="175" spans="1:6" x14ac:dyDescent="0.4">
      <c r="A175">
        <v>69.5</v>
      </c>
      <c r="B175" s="4">
        <f t="shared" si="13"/>
        <v>3.0505387089672746</v>
      </c>
      <c r="C175" s="4">
        <f t="shared" si="14"/>
        <v>6.4992833266990662</v>
      </c>
      <c r="D175" s="4">
        <f t="shared" si="12"/>
        <v>194.21265470257856</v>
      </c>
      <c r="E175" s="4">
        <f t="shared" si="15"/>
        <v>190.04248225805981</v>
      </c>
    </row>
    <row r="176" spans="1:6" x14ac:dyDescent="0.4">
      <c r="A176" s="12">
        <f>I8</f>
        <v>73.514715069579779</v>
      </c>
      <c r="B176" s="12">
        <f t="shared" si="13"/>
        <v>3.0193703015385518</v>
      </c>
      <c r="C176" s="12">
        <f t="shared" si="14"/>
        <v>6.2409544569316884</v>
      </c>
      <c r="D176" s="12">
        <f t="shared" si="12"/>
        <v>194.23248655008027</v>
      </c>
      <c r="E176" s="12">
        <f t="shared" si="15"/>
        <v>190.22806714019256</v>
      </c>
      <c r="F176" s="2" t="s">
        <v>82</v>
      </c>
    </row>
    <row r="177" spans="1:5" x14ac:dyDescent="0.4">
      <c r="A177">
        <v>69.75</v>
      </c>
      <c r="B177" s="4">
        <f t="shared" si="13"/>
        <v>3.0485454941155141</v>
      </c>
      <c r="C177" s="4">
        <f t="shared" si="14"/>
        <v>6.4824313888377159</v>
      </c>
      <c r="D177" s="4">
        <f t="shared" si="12"/>
        <v>194.21512088664329</v>
      </c>
      <c r="E177" s="4">
        <f t="shared" si="15"/>
        <v>190.05576124768686</v>
      </c>
    </row>
    <row r="178" spans="1:5" x14ac:dyDescent="0.4">
      <c r="A178">
        <v>70</v>
      </c>
      <c r="B178" s="4">
        <f t="shared" si="13"/>
        <v>3.046559465712682</v>
      </c>
      <c r="C178" s="4">
        <f t="shared" si="14"/>
        <v>6.4656858377188637</v>
      </c>
      <c r="D178" s="4">
        <f t="shared" si="12"/>
        <v>194.21741400060122</v>
      </c>
      <c r="E178" s="4">
        <f t="shared" si="15"/>
        <v>190.06879890567123</v>
      </c>
    </row>
    <row r="179" spans="1:5" x14ac:dyDescent="0.4">
      <c r="A179">
        <v>70.25</v>
      </c>
      <c r="B179" s="4">
        <f t="shared" si="13"/>
        <v>3.0445805715172858</v>
      </c>
      <c r="C179" s="4">
        <f t="shared" si="14"/>
        <v>6.449045624042431</v>
      </c>
      <c r="D179" s="4">
        <f t="shared" si="12"/>
        <v>194.21953617952545</v>
      </c>
      <c r="E179" s="4">
        <f t="shared" si="15"/>
        <v>190.08159804035446</v>
      </c>
    </row>
    <row r="180" spans="1:5" x14ac:dyDescent="0.4">
      <c r="A180">
        <v>70.5</v>
      </c>
      <c r="B180" s="4">
        <f t="shared" si="13"/>
        <v>3.0426087598530613</v>
      </c>
      <c r="C180" s="4">
        <f t="shared" si="14"/>
        <v>6.4325097125549204</v>
      </c>
      <c r="D180" s="4">
        <f t="shared" si="12"/>
        <v>194.22148952722205</v>
      </c>
      <c r="E180" s="4">
        <f t="shared" si="15"/>
        <v>190.09416141979821</v>
      </c>
    </row>
    <row r="181" spans="1:5" x14ac:dyDescent="0.4">
      <c r="A181">
        <v>70.75</v>
      </c>
      <c r="B181" s="4">
        <f t="shared" si="13"/>
        <v>3.040643979600878</v>
      </c>
      <c r="C181" s="4">
        <f t="shared" si="14"/>
        <v>6.4160770818123583</v>
      </c>
      <c r="D181" s="4">
        <f t="shared" si="12"/>
        <v>194.22327611678404</v>
      </c>
      <c r="E181" s="4">
        <f t="shared" si="15"/>
        <v>190.10649177249056</v>
      </c>
    </row>
    <row r="182" spans="1:5" x14ac:dyDescent="0.4">
      <c r="A182">
        <v>71</v>
      </c>
      <c r="B182" s="4">
        <f t="shared" si="13"/>
        <v>3.0386861801907763</v>
      </c>
      <c r="C182" s="4">
        <f t="shared" si="14"/>
        <v>6.3997467239479411</v>
      </c>
      <c r="D182" s="4">
        <f t="shared" si="12"/>
        <v>194.2248979911345</v>
      </c>
      <c r="E182" s="4">
        <f t="shared" si="15"/>
        <v>190.1185917880378</v>
      </c>
    </row>
    <row r="183" spans="1:5" x14ac:dyDescent="0.4">
      <c r="A183">
        <v>71.25</v>
      </c>
      <c r="B183" s="4">
        <f t="shared" si="13"/>
        <v>3.0367353115941489</v>
      </c>
      <c r="C183" s="4">
        <f t="shared" si="14"/>
        <v>6.3835176444444546</v>
      </c>
      <c r="D183" s="4">
        <f t="shared" si="12"/>
        <v>194.22635716355742</v>
      </c>
      <c r="E183" s="4">
        <f t="shared" si="15"/>
        <v>190.13046411784188</v>
      </c>
    </row>
    <row r="184" spans="1:5" x14ac:dyDescent="0.4">
      <c r="A184">
        <v>71.5</v>
      </c>
      <c r="B184" s="4">
        <f t="shared" si="13"/>
        <v>3.0347913243160662</v>
      </c>
      <c r="C184" s="4">
        <f t="shared" si="14"/>
        <v>6.3673888619112917</v>
      </c>
      <c r="D184" s="4">
        <f t="shared" si="12"/>
        <v>194.22765561821811</v>
      </c>
      <c r="E184" s="4">
        <f t="shared" si="15"/>
        <v>190.14211137576325</v>
      </c>
    </row>
    <row r="185" spans="1:5" x14ac:dyDescent="0.4">
      <c r="A185">
        <v>71.75</v>
      </c>
      <c r="B185" s="4">
        <f t="shared" si="13"/>
        <v>3.03285416938773</v>
      </c>
      <c r="C185" s="4">
        <f t="shared" si="14"/>
        <v>6.3513594078659086</v>
      </c>
      <c r="D185" s="4">
        <f t="shared" si="12"/>
        <v>194.2287953106725</v>
      </c>
      <c r="E185" s="4">
        <f t="shared" si="15"/>
        <v>190.15353613877093</v>
      </c>
    </row>
    <row r="186" spans="1:5" x14ac:dyDescent="0.4">
      <c r="A186">
        <v>72</v>
      </c>
      <c r="B186" s="4">
        <f t="shared" si="13"/>
        <v>3.0309237983590647</v>
      </c>
      <c r="C186" s="4">
        <f t="shared" si="14"/>
        <v>6.3354283265197564</v>
      </c>
      <c r="D186" s="4">
        <f t="shared" si="12"/>
        <v>194.22977816836601</v>
      </c>
      <c r="E186" s="4">
        <f t="shared" si="15"/>
        <v>190.16474094757837</v>
      </c>
    </row>
    <row r="187" spans="1:5" x14ac:dyDescent="0.4">
      <c r="A187">
        <v>72.25</v>
      </c>
      <c r="B187" s="4">
        <f t="shared" si="13"/>
        <v>3.0290001632914323</v>
      </c>
      <c r="C187" s="4">
        <f t="shared" si="14"/>
        <v>6.3195946745684042</v>
      </c>
      <c r="D187" s="4">
        <f t="shared" si="12"/>
        <v>194.23060609112207</v>
      </c>
      <c r="E187" s="4">
        <f t="shared" si="15"/>
        <v>190.17572830726684</v>
      </c>
    </row>
    <row r="188" spans="1:5" x14ac:dyDescent="0.4">
      <c r="A188">
        <v>72.5</v>
      </c>
      <c r="B188" s="4">
        <f t="shared" si="13"/>
        <v>3.0270832167504858</v>
      </c>
      <c r="C188" s="4">
        <f t="shared" si="14"/>
        <v>6.303857520985888</v>
      </c>
      <c r="D188" s="4">
        <f t="shared" si="12"/>
        <v>194.2312809516207</v>
      </c>
      <c r="E188" s="4">
        <f t="shared" si="15"/>
        <v>190.18650068789592</v>
      </c>
    </row>
    <row r="189" spans="1:5" x14ac:dyDescent="0.4">
      <c r="A189">
        <v>72.75</v>
      </c>
      <c r="B189" s="4">
        <f t="shared" si="13"/>
        <v>3.0251729117991308</v>
      </c>
      <c r="C189" s="4">
        <f t="shared" si="14"/>
        <v>6.2882159468231658</v>
      </c>
      <c r="D189" s="4">
        <f t="shared" si="12"/>
        <v>194.23180459586703</v>
      </c>
      <c r="E189" s="4">
        <f t="shared" si="15"/>
        <v>190.19706052510134</v>
      </c>
    </row>
    <row r="190" spans="1:5" x14ac:dyDescent="0.4">
      <c r="A190">
        <v>73</v>
      </c>
      <c r="B190" s="4">
        <f t="shared" si="13"/>
        <v>3.0232692019906251</v>
      </c>
      <c r="C190" s="4">
        <f t="shared" si="14"/>
        <v>6.2726690450104723</v>
      </c>
      <c r="D190" s="4">
        <f t="shared" si="12"/>
        <v>194.2321788436507</v>
      </c>
      <c r="E190" s="4">
        <f t="shared" si="15"/>
        <v>190.20741022068097</v>
      </c>
    </row>
    <row r="191" spans="1:5" x14ac:dyDescent="0.4">
      <c r="A191">
        <v>73.25</v>
      </c>
      <c r="B191" s="4">
        <f t="shared" si="13"/>
        <v>3.0213720413617877</v>
      </c>
      <c r="C191" s="4">
        <f t="shared" si="14"/>
        <v>6.257215920163727</v>
      </c>
      <c r="D191" s="4">
        <f t="shared" si="12"/>
        <v>194.23240548899531</v>
      </c>
      <c r="E191" s="4">
        <f t="shared" si="15"/>
        <v>190.217552143169</v>
      </c>
    </row>
    <row r="192" spans="1:5" x14ac:dyDescent="0.4">
      <c r="A192">
        <v>73.5</v>
      </c>
      <c r="B192" s="4">
        <f t="shared" si="13"/>
        <v>3.019481384426324</v>
      </c>
      <c r="C192" s="4">
        <f t="shared" si="14"/>
        <v>6.2418556883945522</v>
      </c>
      <c r="D192" s="4">
        <f t="shared" si="12"/>
        <v>194.23248630059933</v>
      </c>
      <c r="E192" s="4">
        <f t="shared" si="15"/>
        <v>190.22748862839813</v>
      </c>
    </row>
    <row r="193" spans="1:5" x14ac:dyDescent="0.4">
      <c r="A193">
        <v>73.75</v>
      </c>
      <c r="B193" s="4">
        <f t="shared" si="13"/>
        <v>3.017597186168274</v>
      </c>
      <c r="C193" s="4">
        <f t="shared" si="14"/>
        <v>6.2265874771241849</v>
      </c>
      <c r="D193" s="4">
        <f t="shared" si="12"/>
        <v>194.23242302226765</v>
      </c>
      <c r="E193" s="4">
        <f t="shared" si="15"/>
        <v>190.23722198005109</v>
      </c>
    </row>
    <row r="194" spans="1:5" x14ac:dyDescent="0.4">
      <c r="A194">
        <v>74</v>
      </c>
      <c r="B194" s="4">
        <f t="shared" si="13"/>
        <v>3.0157194020355669</v>
      </c>
      <c r="C194" s="4">
        <f t="shared" si="14"/>
        <v>6.2114104249009525</v>
      </c>
      <c r="D194" s="4">
        <f t="shared" si="12"/>
        <v>194.23221737333461</v>
      </c>
      <c r="E194" s="4">
        <f t="shared" si="15"/>
        <v>190.24675447020027</v>
      </c>
    </row>
    <row r="195" spans="1:5" x14ac:dyDescent="0.4">
      <c r="A195">
        <v>74.25</v>
      </c>
      <c r="B195" s="4">
        <f t="shared" si="13"/>
        <v>3.0138479879336808</v>
      </c>
      <c r="C195" s="4">
        <f t="shared" si="14"/>
        <v>6.1963236812212532</v>
      </c>
      <c r="D195" s="4">
        <f t="shared" si="12"/>
        <v>194.23187104907862</v>
      </c>
      <c r="E195" s="4">
        <f t="shared" si="15"/>
        <v>190.25608833983767</v>
      </c>
    </row>
    <row r="196" spans="1:5" x14ac:dyDescent="0.4">
      <c r="A196">
        <v>74.5</v>
      </c>
      <c r="B196" s="4">
        <f t="shared" si="13"/>
        <v>3.0119829002194187</v>
      </c>
      <c r="C196" s="4">
        <f t="shared" si="14"/>
        <v>6.1813264063540743</v>
      </c>
      <c r="D196" s="4">
        <f t="shared" si="12"/>
        <v>194.23138572112833</v>
      </c>
      <c r="E196" s="4">
        <f t="shared" si="15"/>
        <v>190.26522579939336</v>
      </c>
    </row>
    <row r="197" spans="1:5" x14ac:dyDescent="0.4">
      <c r="A197">
        <v>74.75</v>
      </c>
      <c r="B197" s="4">
        <f t="shared" si="13"/>
        <v>3.0101240956947892</v>
      </c>
      <c r="C197" s="4">
        <f t="shared" si="14"/>
        <v>6.1664177711689216</v>
      </c>
      <c r="D197" s="4">
        <f t="shared" si="12"/>
        <v>194.23076303786061</v>
      </c>
      <c r="E197" s="4">
        <f t="shared" si="15"/>
        <v>190.27416902924395</v>
      </c>
    </row>
    <row r="198" spans="1:5" x14ac:dyDescent="0.4">
      <c r="A198">
        <v>75</v>
      </c>
      <c r="B198" s="4">
        <f t="shared" si="13"/>
        <v>3.0082715316009812</v>
      </c>
      <c r="C198" s="4">
        <f t="shared" si="14"/>
        <v>6.1515969569669533</v>
      </c>
      <c r="D198" s="4">
        <f t="shared" si="12"/>
        <v>194.23000462479104</v>
      </c>
      <c r="E198" s="4">
        <f t="shared" si="15"/>
        <v>190.28292018021148</v>
      </c>
    </row>
    <row r="199" spans="1:5" x14ac:dyDescent="0.4">
      <c r="A199">
        <v>75.25</v>
      </c>
      <c r="B199" s="4">
        <f t="shared" si="13"/>
        <v>3.006425165612451</v>
      </c>
      <c r="C199" s="4">
        <f t="shared" si="14"/>
        <v>6.1368631553155151</v>
      </c>
      <c r="D199" s="4">
        <f t="shared" si="12"/>
        <v>194.22911208495591</v>
      </c>
      <c r="E199" s="4">
        <f t="shared" si="15"/>
        <v>190.29148137405147</v>
      </c>
    </row>
    <row r="200" spans="1:5" x14ac:dyDescent="0.4">
      <c r="A200">
        <v>75.5</v>
      </c>
      <c r="B200" s="4">
        <f t="shared" si="13"/>
        <v>3.0045849558311004</v>
      </c>
      <c r="C200" s="4">
        <f t="shared" si="14"/>
        <v>6.1222155678856325</v>
      </c>
      <c r="D200" s="4">
        <f t="shared" si="12"/>
        <v>194.22808699928748</v>
      </c>
      <c r="E200" s="4">
        <f t="shared" si="15"/>
        <v>190.29985470393262</v>
      </c>
    </row>
    <row r="201" spans="1:5" x14ac:dyDescent="0.4">
      <c r="A201">
        <v>75.75</v>
      </c>
      <c r="B201" s="4">
        <f t="shared" si="13"/>
        <v>3.0027508607805604</v>
      </c>
      <c r="C201" s="4">
        <f t="shared" si="14"/>
        <v>6.1076534062928731</v>
      </c>
      <c r="D201" s="4">
        <f t="shared" si="12"/>
        <v>194.22693092698117</v>
      </c>
      <c r="E201" s="4">
        <f t="shared" si="15"/>
        <v>190.308042234906</v>
      </c>
    </row>
    <row r="202" spans="1:5" x14ac:dyDescent="0.4">
      <c r="A202">
        <v>76</v>
      </c>
      <c r="B202" s="4">
        <f t="shared" si="13"/>
        <v>3.0009228394005589</v>
      </c>
      <c r="C202" s="4">
        <f t="shared" si="14"/>
        <v>6.0931758919409518</v>
      </c>
      <c r="D202" s="4">
        <f t="shared" si="12"/>
        <v>194.22564540585608</v>
      </c>
      <c r="E202" s="4">
        <f t="shared" si="15"/>
        <v>190.3160460043658</v>
      </c>
    </row>
    <row r="203" spans="1:5" x14ac:dyDescent="0.4">
      <c r="A203">
        <v>76.25</v>
      </c>
      <c r="B203" s="4">
        <f t="shared" si="13"/>
        <v>2.9991008510413915</v>
      </c>
      <c r="C203" s="4">
        <f t="shared" si="14"/>
        <v>6.0787822558685098</v>
      </c>
      <c r="D203" s="4">
        <f t="shared" si="12"/>
        <v>194.22423195270801</v>
      </c>
      <c r="E203" s="4">
        <f t="shared" si="15"/>
        <v>190.32386802250107</v>
      </c>
    </row>
    <row r="204" spans="1:5" x14ac:dyDescent="0.4">
      <c r="A204">
        <v>76.5</v>
      </c>
      <c r="B204" s="4">
        <f t="shared" si="13"/>
        <v>2.9972848554584779</v>
      </c>
      <c r="C204" s="4">
        <f t="shared" si="14"/>
        <v>6.0644717385986784</v>
      </c>
      <c r="D204" s="4">
        <f t="shared" si="12"/>
        <v>194.22269206365564</v>
      </c>
      <c r="E204" s="4">
        <f t="shared" si="15"/>
        <v>190.33151027273786</v>
      </c>
    </row>
    <row r="205" spans="1:5" x14ac:dyDescent="0.4">
      <c r="A205">
        <v>76.75</v>
      </c>
      <c r="B205" s="4">
        <f t="shared" si="13"/>
        <v>2.9954748128070148</v>
      </c>
      <c r="C205" s="4">
        <f t="shared" si="14"/>
        <v>6.0502435899915117</v>
      </c>
      <c r="D205" s="4">
        <f t="shared" si="12"/>
        <v>194.22102721448067</v>
      </c>
      <c r="E205" s="4">
        <f t="shared" si="15"/>
        <v>190.33897471217449</v>
      </c>
    </row>
    <row r="206" spans="1:5" x14ac:dyDescent="0.4">
      <c r="A206">
        <v>77</v>
      </c>
      <c r="B206" s="4">
        <f t="shared" si="13"/>
        <v>2.9936706836367062</v>
      </c>
      <c r="C206" s="4">
        <f t="shared" si="14"/>
        <v>6.0360970690991946</v>
      </c>
      <c r="D206" s="4">
        <f t="shared" si="12"/>
        <v>194.21923886095993</v>
      </c>
      <c r="E206" s="4">
        <f t="shared" si="15"/>
        <v>190.34626327200641</v>
      </c>
    </row>
    <row r="207" spans="1:5" x14ac:dyDescent="0.4">
      <c r="A207">
        <v>77.25</v>
      </c>
      <c r="B207" s="4">
        <f t="shared" si="13"/>
        <v>2.9918724288865888</v>
      </c>
      <c r="C207" s="4">
        <f t="shared" si="14"/>
        <v>6.0220314440239138</v>
      </c>
      <c r="D207" s="4">
        <f t="shared" ref="D207:D270" si="16">$B$6*$B$12/9.81*($B$9*SQRT(2/($B$9-1)*(2/($B$9+1))^(($B$9+1)/($B$9-1))*(1 - (A207/$B$3)^(($B$9-1)/$B$9))) + C207/$B$3*(A207 - $I$8))</f>
        <v>194.21732843919261</v>
      </c>
      <c r="E207" s="4">
        <f t="shared" si="15"/>
        <v>190.35337785794462</v>
      </c>
    </row>
    <row r="208" spans="1:5" x14ac:dyDescent="0.4">
      <c r="A208">
        <v>77.5</v>
      </c>
      <c r="B208" s="4">
        <f t="shared" ref="B208:B271" si="17">SQRT(2/($B$9-1)*((A208/$B$3)^((1-$B$9)/$B$9) - 1))</f>
        <v>2.9900800098799407</v>
      </c>
      <c r="C208" s="4">
        <f t="shared" ref="C208:C271" si="18">1/B208*(2/($B$9+1)*(1 + ($B$9-1)/2*B208^2))^(($B$9+1)/(2*$B$9-2))</f>
        <v>6.0080459917784497</v>
      </c>
      <c r="D208" s="4">
        <f t="shared" si="16"/>
        <v>194.21529736592024</v>
      </c>
      <c r="E208" s="4">
        <f t="shared" ref="E208:E271" si="19">$B$6*$B$12/9.81*($B$9*SQRT(2/($B$9-1)*(2/($B$9+1))^(($B$9+1)/($B$9-1))*(1 - (A208/$B$3)^(($B$9-1)/$B$9))) + C208/$B$3*(A208 - $E$4))</f>
        <v>190.36032035062507</v>
      </c>
    </row>
    <row r="209" spans="1:5" x14ac:dyDescent="0.4">
      <c r="A209">
        <v>77.75</v>
      </c>
      <c r="B209" s="4">
        <f t="shared" si="17"/>
        <v>2.9882933883192675</v>
      </c>
      <c r="C209" s="4">
        <f t="shared" si="18"/>
        <v>5.9941399981492767</v>
      </c>
      <c r="D209" s="4">
        <f t="shared" si="16"/>
        <v>194.21314703884062</v>
      </c>
      <c r="E209" s="4">
        <f t="shared" si="19"/>
        <v>190.36709260601049</v>
      </c>
    </row>
    <row r="210" spans="1:5" x14ac:dyDescent="0.4">
      <c r="A210">
        <v>78</v>
      </c>
      <c r="B210" s="4">
        <f t="shared" si="17"/>
        <v>2.9865125262813756</v>
      </c>
      <c r="C210" s="4">
        <f t="shared" si="18"/>
        <v>5.980312757562289</v>
      </c>
      <c r="D210" s="4">
        <f t="shared" si="16"/>
        <v>194.21087883691615</v>
      </c>
      <c r="E210" s="4">
        <f t="shared" si="19"/>
        <v>190.37369645578482</v>
      </c>
    </row>
    <row r="211" spans="1:5" x14ac:dyDescent="0.4">
      <c r="A211">
        <v>78.25</v>
      </c>
      <c r="B211" s="4">
        <f t="shared" si="17"/>
        <v>2.9847373862125228</v>
      </c>
      <c r="C211" s="4">
        <f t="shared" si="18"/>
        <v>5.966563572950899</v>
      </c>
      <c r="D211" s="4">
        <f t="shared" si="16"/>
        <v>194.20849412067582</v>
      </c>
      <c r="E211" s="4">
        <f t="shared" si="19"/>
        <v>190.38013370773987</v>
      </c>
    </row>
    <row r="212" spans="1:5" x14ac:dyDescent="0.4">
      <c r="A212">
        <v>78.5</v>
      </c>
      <c r="B212" s="4">
        <f t="shared" si="17"/>
        <v>2.9829679309236461</v>
      </c>
      <c r="C212" s="4">
        <f t="shared" si="18"/>
        <v>5.9528917556267</v>
      </c>
      <c r="D212" s="4">
        <f t="shared" si="16"/>
        <v>194.20599423251176</v>
      </c>
      <c r="E212" s="4">
        <f t="shared" si="19"/>
        <v>190.38640614615488</v>
      </c>
    </row>
    <row r="213" spans="1:5" x14ac:dyDescent="0.4">
      <c r="A213">
        <v>78.75</v>
      </c>
      <c r="B213" s="4">
        <f t="shared" si="17"/>
        <v>2.9812041235856692</v>
      </c>
      <c r="C213" s="4">
        <f t="shared" si="18"/>
        <v>5.9392966251523296</v>
      </c>
      <c r="D213" s="4">
        <f t="shared" si="16"/>
        <v>194.20338049696963</v>
      </c>
      <c r="E213" s="4">
        <f t="shared" si="19"/>
        <v>190.39251553216852</v>
      </c>
    </row>
    <row r="214" spans="1:5" x14ac:dyDescent="0.4">
      <c r="A214">
        <v>79</v>
      </c>
      <c r="B214" s="4">
        <f t="shared" si="17"/>
        <v>2.979445927724881</v>
      </c>
      <c r="C214" s="4">
        <f t="shared" si="18"/>
        <v>5.9257775092168368</v>
      </c>
      <c r="D214" s="4">
        <f t="shared" si="16"/>
        <v>194.2006542210346</v>
      </c>
      <c r="E214" s="4">
        <f t="shared" si="19"/>
        <v>190.39846360414452</v>
      </c>
    </row>
    <row r="215" spans="1:5" x14ac:dyDescent="0.4">
      <c r="A215">
        <v>79.25</v>
      </c>
      <c r="B215" s="4">
        <f t="shared" si="17"/>
        <v>2.9776933072183907</v>
      </c>
      <c r="C215" s="4">
        <f t="shared" si="18"/>
        <v>5.9123337435131571</v>
      </c>
      <c r="D215" s="4">
        <f t="shared" si="16"/>
        <v>194.19781669441039</v>
      </c>
      <c r="E215" s="4">
        <f t="shared" si="19"/>
        <v>190.40425207802994</v>
      </c>
    </row>
    <row r="216" spans="1:5" x14ac:dyDescent="0.4">
      <c r="A216">
        <v>79.5</v>
      </c>
      <c r="B216" s="4">
        <f t="shared" si="17"/>
        <v>2.975946226289655</v>
      </c>
      <c r="C216" s="4">
        <f t="shared" si="18"/>
        <v>5.8989646716179864</v>
      </c>
      <c r="D216" s="4">
        <f t="shared" si="16"/>
        <v>194.1948691897947</v>
      </c>
      <c r="E216" s="4">
        <f t="shared" si="19"/>
        <v>190.40988264770701</v>
      </c>
    </row>
    <row r="217" spans="1:5" x14ac:dyDescent="0.4">
      <c r="A217">
        <v>79.75</v>
      </c>
      <c r="B217" s="4">
        <f t="shared" si="17"/>
        <v>2.9742046495040761</v>
      </c>
      <c r="C217" s="4">
        <f t="shared" si="18"/>
        <v>5.8856696448736461</v>
      </c>
      <c r="D217" s="4">
        <f t="shared" si="16"/>
        <v>194.1918129631481</v>
      </c>
      <c r="E217" s="4">
        <f t="shared" si="19"/>
        <v>190.41535698533826</v>
      </c>
    </row>
    <row r="218" spans="1:5" x14ac:dyDescent="0.4">
      <c r="A218">
        <v>80</v>
      </c>
      <c r="B218" s="4">
        <f t="shared" si="17"/>
        <v>2.9724685417646683</v>
      </c>
      <c r="C218" s="4">
        <f t="shared" si="18"/>
        <v>5.872448022272228</v>
      </c>
      <c r="D218" s="4">
        <f t="shared" si="16"/>
        <v>194.18864925395872</v>
      </c>
      <c r="E218" s="4">
        <f t="shared" si="19"/>
        <v>190.42067674170536</v>
      </c>
    </row>
    <row r="219" spans="1:5" x14ac:dyDescent="0.4">
      <c r="A219">
        <v>80.25</v>
      </c>
      <c r="B219" s="4">
        <f t="shared" si="17"/>
        <v>2.9707378683077912</v>
      </c>
      <c r="C219" s="4">
        <f t="shared" si="18"/>
        <v>5.8592991703417274</v>
      </c>
      <c r="D219" s="4">
        <f t="shared" si="16"/>
        <v>194.18537928550157</v>
      </c>
      <c r="E219" s="4">
        <f t="shared" si="19"/>
        <v>190.42584354654176</v>
      </c>
    </row>
    <row r="220" spans="1:5" x14ac:dyDescent="0.4">
      <c r="A220">
        <v>80.5</v>
      </c>
      <c r="B220" s="4">
        <f t="shared" si="17"/>
        <v>2.9690125946989578</v>
      </c>
      <c r="C220" s="4">
        <f t="shared" si="18"/>
        <v>5.8462224630343291</v>
      </c>
      <c r="D220" s="4">
        <f t="shared" si="16"/>
        <v>194.18200426509355</v>
      </c>
      <c r="E220" s="4">
        <f t="shared" si="19"/>
        <v>190.43085900885885</v>
      </c>
    </row>
    <row r="221" spans="1:5" x14ac:dyDescent="0.4">
      <c r="A221" s="4">
        <v>80.75</v>
      </c>
      <c r="B221" s="4">
        <f t="shared" si="17"/>
        <v>2.9672926868286971</v>
      </c>
      <c r="C221" s="4">
        <f t="shared" si="18"/>
        <v>5.8332172816165437</v>
      </c>
      <c r="D221" s="4">
        <f t="shared" si="16"/>
        <v>194.17852538434298</v>
      </c>
      <c r="E221" s="4">
        <f t="shared" si="19"/>
        <v>190.43572471726654</v>
      </c>
    </row>
    <row r="222" spans="1:5" x14ac:dyDescent="0.4">
      <c r="A222" s="11">
        <v>81</v>
      </c>
      <c r="B222" s="4">
        <f t="shared" si="17"/>
        <v>2.9655781109084911</v>
      </c>
      <c r="C222" s="4">
        <f t="shared" si="18"/>
        <v>5.8202830145614346</v>
      </c>
      <c r="D222" s="4">
        <f t="shared" si="16"/>
        <v>194.17494381939511</v>
      </c>
      <c r="E222" s="4">
        <f t="shared" si="19"/>
        <v>190.44044224028758</v>
      </c>
    </row>
    <row r="223" spans="1:5" x14ac:dyDescent="0.4">
      <c r="A223">
        <v>81.25</v>
      </c>
      <c r="B223" s="4">
        <f t="shared" si="17"/>
        <v>2.9638688334667682</v>
      </c>
      <c r="C223" s="4">
        <f t="shared" si="18"/>
        <v>5.8074190574427069</v>
      </c>
      <c r="D223" s="4">
        <f t="shared" si="16"/>
        <v>194.17126073117308</v>
      </c>
      <c r="E223" s="4">
        <f t="shared" si="19"/>
        <v>190.44501312666665</v>
      </c>
    </row>
    <row r="224" spans="1:5" x14ac:dyDescent="0.4">
      <c r="A224">
        <v>81.5</v>
      </c>
      <c r="B224" s="4">
        <f t="shared" si="17"/>
        <v>2.9621648213449614</v>
      </c>
      <c r="C224" s="4">
        <f t="shared" si="18"/>
        <v>5.7946248128306301</v>
      </c>
      <c r="D224" s="4">
        <f t="shared" si="16"/>
        <v>194.16747726561397</v>
      </c>
      <c r="E224" s="4">
        <f t="shared" si="19"/>
        <v>190.44943890567313</v>
      </c>
    </row>
    <row r="225" spans="1:6" x14ac:dyDescent="0.4">
      <c r="A225">
        <v>81.75</v>
      </c>
      <c r="B225" s="4">
        <f t="shared" si="17"/>
        <v>2.9604660416936306</v>
      </c>
      <c r="C225" s="4">
        <f t="shared" si="18"/>
        <v>5.781899690189924</v>
      </c>
      <c r="D225" s="4">
        <f t="shared" si="16"/>
        <v>194.16359455390113</v>
      </c>
      <c r="E225" s="4">
        <f t="shared" si="19"/>
        <v>190.45372108739883</v>
      </c>
    </row>
    <row r="226" spans="1:6" x14ac:dyDescent="0.4">
      <c r="A226">
        <v>82</v>
      </c>
      <c r="B226" s="4">
        <f t="shared" si="17"/>
        <v>2.9587724619686382</v>
      </c>
      <c r="C226" s="4">
        <f t="shared" si="18"/>
        <v>5.7692431057793003</v>
      </c>
      <c r="D226" s="4">
        <f t="shared" si="16"/>
        <v>194.15961371269188</v>
      </c>
      <c r="E226" s="4">
        <f t="shared" si="19"/>
        <v>190.45786116305035</v>
      </c>
    </row>
    <row r="227" spans="1:6" x14ac:dyDescent="0.4">
      <c r="A227">
        <v>82.25</v>
      </c>
      <c r="B227" s="4">
        <f t="shared" si="17"/>
        <v>2.9570840499273889</v>
      </c>
      <c r="C227" s="4">
        <f t="shared" si="18"/>
        <v>5.7566544825528707</v>
      </c>
      <c r="D227" s="4">
        <f t="shared" si="16"/>
        <v>194.15553584434107</v>
      </c>
      <c r="E227" s="4">
        <f t="shared" si="19"/>
        <v>190.46186060523587</v>
      </c>
    </row>
    <row r="228" spans="1:6" x14ac:dyDescent="0.4">
      <c r="A228">
        <v>82.5</v>
      </c>
      <c r="B228" s="4">
        <f t="shared" si="17"/>
        <v>2.9554007736251231</v>
      </c>
      <c r="C228" s="4">
        <f t="shared" si="18"/>
        <v>5.7441332500632134</v>
      </c>
      <c r="D228" s="4">
        <f t="shared" si="16"/>
        <v>194.15136203712086</v>
      </c>
      <c r="E228" s="4">
        <f t="shared" si="19"/>
        <v>190.46572086824699</v>
      </c>
    </row>
    <row r="229" spans="1:6" x14ac:dyDescent="0.4">
      <c r="A229">
        <v>82.75</v>
      </c>
      <c r="B229" s="4">
        <f t="shared" si="17"/>
        <v>2.9537226014112723</v>
      </c>
      <c r="C229" s="4">
        <f t="shared" si="18"/>
        <v>5.731678844366205</v>
      </c>
      <c r="D229" s="4">
        <f t="shared" si="16"/>
        <v>194.14709336543621</v>
      </c>
      <c r="E229" s="4">
        <f t="shared" si="19"/>
        <v>190.46944338833529</v>
      </c>
    </row>
    <row r="230" spans="1:6" x14ac:dyDescent="0.4">
      <c r="A230">
        <v>83</v>
      </c>
      <c r="B230" s="4">
        <f t="shared" si="17"/>
        <v>2.9520495019258624</v>
      </c>
      <c r="C230" s="4">
        <f t="shared" si="18"/>
        <v>5.7192907079274224</v>
      </c>
      <c r="D230" s="4">
        <f t="shared" si="16"/>
        <v>194.14273089003672</v>
      </c>
      <c r="E230" s="4">
        <f t="shared" si="19"/>
        <v>190.47302958398447</v>
      </c>
    </row>
    <row r="231" spans="1:6" x14ac:dyDescent="0.4">
      <c r="A231">
        <v>83.25</v>
      </c>
      <c r="B231" s="4">
        <f t="shared" si="17"/>
        <v>2.9503814440959824</v>
      </c>
      <c r="C231" s="4">
        <f t="shared" si="18"/>
        <v>5.7069682895302556</v>
      </c>
      <c r="D231" s="4">
        <f t="shared" si="16"/>
        <v>194.13827565822433</v>
      </c>
      <c r="E231" s="4">
        <f t="shared" si="19"/>
        <v>190.47648085617669</v>
      </c>
    </row>
    <row r="232" spans="1:6" x14ac:dyDescent="0.4">
      <c r="A232">
        <v>83.5</v>
      </c>
      <c r="B232" s="4">
        <f t="shared" si="17"/>
        <v>2.9487183971322914</v>
      </c>
      <c r="C232" s="4">
        <f t="shared" si="18"/>
        <v>5.6947110441855173</v>
      </c>
      <c r="D232" s="4">
        <f t="shared" si="16"/>
        <v>194.1337287040576</v>
      </c>
      <c r="E232" s="4">
        <f t="shared" si="19"/>
        <v>190.47979858865509</v>
      </c>
    </row>
    <row r="233" spans="1:6" x14ac:dyDescent="0.4">
      <c r="A233">
        <v>83.75</v>
      </c>
      <c r="B233" s="4">
        <f t="shared" si="17"/>
        <v>2.9470603305255949</v>
      </c>
      <c r="C233" s="4">
        <f t="shared" si="18"/>
        <v>5.6825184330427163</v>
      </c>
      <c r="D233" s="4">
        <f t="shared" si="16"/>
        <v>194.12909104855251</v>
      </c>
      <c r="E233" s="4">
        <f t="shared" si="19"/>
        <v>190.48298414818132</v>
      </c>
    </row>
    <row r="234" spans="1:6" x14ac:dyDescent="0.4">
      <c r="A234">
        <v>84</v>
      </c>
      <c r="B234" s="4">
        <f t="shared" si="17"/>
        <v>2.9454072140434624</v>
      </c>
      <c r="C234" s="4">
        <f t="shared" si="18"/>
        <v>5.6703899233027668</v>
      </c>
      <c r="D234" s="4">
        <f t="shared" si="16"/>
        <v>194.12436369987884</v>
      </c>
      <c r="E234" s="4">
        <f t="shared" si="19"/>
        <v>190.48603888478817</v>
      </c>
    </row>
    <row r="235" spans="1:6" x14ac:dyDescent="0.4">
      <c r="A235">
        <v>84.25</v>
      </c>
      <c r="B235" s="4">
        <f t="shared" si="17"/>
        <v>2.9437590177268946</v>
      </c>
      <c r="C235" s="4">
        <f t="shared" si="18"/>
        <v>5.6583249881322377</v>
      </c>
      <c r="D235" s="4">
        <f t="shared" si="16"/>
        <v>194.11954765355421</v>
      </c>
      <c r="E235" s="4">
        <f t="shared" si="19"/>
        <v>190.48896413202837</v>
      </c>
    </row>
    <row r="236" spans="1:6" x14ac:dyDescent="0.4">
      <c r="A236">
        <v>84.5</v>
      </c>
      <c r="B236" s="4">
        <f t="shared" si="17"/>
        <v>2.94211571188705</v>
      </c>
      <c r="C236" s="4">
        <f t="shared" si="18"/>
        <v>5.6463231065790644</v>
      </c>
      <c r="D236" s="4">
        <f t="shared" si="16"/>
        <v>194.1146438926335</v>
      </c>
      <c r="E236" s="4">
        <f t="shared" si="19"/>
        <v>190.4917612072183</v>
      </c>
    </row>
    <row r="237" spans="1:6" x14ac:dyDescent="0.4">
      <c r="A237">
        <v>84.75</v>
      </c>
      <c r="B237" s="4">
        <f t="shared" si="17"/>
        <v>2.9404772671020107</v>
      </c>
      <c r="C237" s="4">
        <f t="shared" si="18"/>
        <v>5.6343837634896756</v>
      </c>
      <c r="D237" s="4">
        <f t="shared" si="16"/>
        <v>194.10965338789597</v>
      </c>
      <c r="E237" s="4">
        <f t="shared" si="19"/>
        <v>190.49443141167814</v>
      </c>
    </row>
    <row r="238" spans="1:6" x14ac:dyDescent="0.4">
      <c r="A238">
        <v>85</v>
      </c>
      <c r="B238" s="4">
        <f t="shared" si="17"/>
        <v>2.9388436542135996</v>
      </c>
      <c r="C238" s="4">
        <f t="shared" si="18"/>
        <v>5.6225064494275721</v>
      </c>
      <c r="D238" s="4">
        <f t="shared" si="16"/>
        <v>194.1045770980283</v>
      </c>
      <c r="E238" s="4">
        <f t="shared" si="19"/>
        <v>190.49697603096723</v>
      </c>
    </row>
    <row r="239" spans="1:6" x14ac:dyDescent="0.4">
      <c r="A239">
        <v>85.25</v>
      </c>
      <c r="B239" s="4">
        <f t="shared" si="17"/>
        <v>2.9372148443242483</v>
      </c>
      <c r="C239" s="4">
        <f t="shared" si="18"/>
        <v>5.6106906605932414</v>
      </c>
      <c r="D239" s="4">
        <f t="shared" si="16"/>
        <v>194.09941596980488</v>
      </c>
      <c r="E239" s="4">
        <f t="shared" si="19"/>
        <v>190.49939633511568</v>
      </c>
    </row>
    <row r="240" spans="1:6" x14ac:dyDescent="0.4">
      <c r="A240" s="3">
        <v>85.5</v>
      </c>
      <c r="B240" s="5">
        <f>SQRT(2/($B$9-1)*((A240/$B$3)^((1-$B$9)/$B$9) - 1))</f>
        <v>2.9355908087939055</v>
      </c>
      <c r="C240" s="5">
        <f t="shared" si="18"/>
        <v>5.5989358987454416</v>
      </c>
      <c r="D240" s="5">
        <f t="shared" si="16"/>
        <v>194.09417093826465</v>
      </c>
      <c r="E240" s="5">
        <f t="shared" si="19"/>
        <v>190.5016935788519</v>
      </c>
      <c r="F240" s="2" t="s">
        <v>62</v>
      </c>
    </row>
    <row r="241" spans="1:5" x14ac:dyDescent="0.4">
      <c r="A241">
        <v>85.75</v>
      </c>
      <c r="B241" s="4">
        <f t="shared" si="17"/>
        <v>2.9339715192369957</v>
      </c>
      <c r="C241" s="4">
        <f t="shared" si="18"/>
        <v>5.5872416711238273</v>
      </c>
      <c r="D241" s="4">
        <f t="shared" si="16"/>
        <v>194.08884292688495</v>
      </c>
      <c r="E241" s="4">
        <f t="shared" si="19"/>
        <v>190.50386900182585</v>
      </c>
    </row>
    <row r="242" spans="1:5" x14ac:dyDescent="0.4">
      <c r="A242">
        <v>86</v>
      </c>
      <c r="B242" s="4">
        <f t="shared" si="17"/>
        <v>2.932356947519418</v>
      </c>
      <c r="C242" s="4">
        <f t="shared" si="18"/>
        <v>5.575607490372831</v>
      </c>
      <c r="D242" s="4">
        <f t="shared" si="16"/>
        <v>194.08343284775253</v>
      </c>
      <c r="E242" s="4">
        <f t="shared" si="19"/>
        <v>190.505923828829</v>
      </c>
    </row>
    <row r="243" spans="1:5" x14ac:dyDescent="0.4">
      <c r="A243">
        <v>86.25</v>
      </c>
      <c r="B243" s="4">
        <f t="shared" si="17"/>
        <v>2.9307470657555954</v>
      </c>
      <c r="C243" s="4">
        <f t="shared" si="18"/>
        <v>5.564032874466867</v>
      </c>
      <c r="D243" s="4">
        <f t="shared" si="16"/>
        <v>194.07794160173117</v>
      </c>
      <c r="E243" s="4">
        <f t="shared" si="19"/>
        <v>190.50785927000999</v>
      </c>
    </row>
    <row r="244" spans="1:5" x14ac:dyDescent="0.4">
      <c r="A244">
        <v>86.5</v>
      </c>
      <c r="B244" s="4">
        <f t="shared" si="17"/>
        <v>2.9291418463055603</v>
      </c>
      <c r="C244" s="4">
        <f>1/B244*(2/($B$9+1)*(1 + ($B$9-1)/2*B244^2))^(($B$9+1)/(2*$B$9-2))</f>
        <v>5.5525173466367734</v>
      </c>
      <c r="D244" s="4">
        <f t="shared" si="16"/>
        <v>194.07237007862656</v>
      </c>
      <c r="E244" s="4">
        <f t="shared" si="19"/>
        <v>190.5096765210867</v>
      </c>
    </row>
    <row r="245" spans="1:5" x14ac:dyDescent="0.4">
      <c r="A245">
        <v>86.75</v>
      </c>
      <c r="B245" s="4">
        <f t="shared" si="17"/>
        <v>2.9275412617720855</v>
      </c>
      <c r="C245" s="4">
        <f t="shared" si="18"/>
        <v>5.5410604352974424</v>
      </c>
      <c r="D245" s="4">
        <f t="shared" si="16"/>
        <v>194.06671915734879</v>
      </c>
      <c r="E245" s="4">
        <f t="shared" si="19"/>
        <v>190.51137676355495</v>
      </c>
    </row>
    <row r="246" spans="1:5" x14ac:dyDescent="0.4">
      <c r="A246">
        <v>87</v>
      </c>
      <c r="B246" s="4">
        <f t="shared" si="17"/>
        <v>2.92594528499786</v>
      </c>
      <c r="C246" s="4">
        <f t="shared" si="18"/>
        <v>5.5296616739767179</v>
      </c>
      <c r="D246" s="4">
        <f t="shared" si="16"/>
        <v>194.06098970607113</v>
      </c>
      <c r="E246" s="4">
        <f t="shared" si="19"/>
        <v>190.51296116489331</v>
      </c>
    </row>
    <row r="247" spans="1:5" x14ac:dyDescent="0.4">
      <c r="A247">
        <v>87.25</v>
      </c>
      <c r="B247" s="4">
        <f t="shared" si="17"/>
        <v>2.9243538890626999</v>
      </c>
      <c r="C247" s="4">
        <f t="shared" si="18"/>
        <v>5.5183206012453967</v>
      </c>
      <c r="D247" s="4">
        <f t="shared" si="16"/>
        <v>194.05518258238686</v>
      </c>
      <c r="E247" s="4">
        <f t="shared" si="19"/>
        <v>190.51443087876456</v>
      </c>
    </row>
    <row r="248" spans="1:5" x14ac:dyDescent="0.4">
      <c r="A248">
        <v>87.5</v>
      </c>
      <c r="B248" s="4">
        <f t="shared" si="17"/>
        <v>2.9227670472808023</v>
      </c>
      <c r="C248" s="4">
        <f t="shared" si="18"/>
        <v>5.5070367606484307</v>
      </c>
      <c r="D248" s="4">
        <f t="shared" si="16"/>
        <v>194.049298633463</v>
      </c>
      <c r="E248" s="4">
        <f t="shared" si="19"/>
        <v>190.51578704521347</v>
      </c>
    </row>
    <row r="249" spans="1:5" x14ac:dyDescent="0.4">
      <c r="A249">
        <v>87.75</v>
      </c>
      <c r="B249" s="4">
        <f t="shared" si="17"/>
        <v>2.9211847331980421</v>
      </c>
      <c r="C249" s="4">
        <f t="shared" si="18"/>
        <v>5.4958097006372766</v>
      </c>
      <c r="D249" s="4">
        <f t="shared" si="16"/>
        <v>194.04333869619174</v>
      </c>
      <c r="E249" s="4">
        <f t="shared" si="19"/>
        <v>190.51703079086201</v>
      </c>
    </row>
    <row r="250" spans="1:5" x14ac:dyDescent="0.4">
      <c r="A250">
        <v>88</v>
      </c>
      <c r="B250" s="4">
        <f t="shared" si="17"/>
        <v>2.9196069205893007</v>
      </c>
      <c r="C250" s="4">
        <f t="shared" si="18"/>
        <v>5.4846389745032997</v>
      </c>
      <c r="D250" s="4">
        <f t="shared" si="16"/>
        <v>194.03730359733865</v>
      </c>
      <c r="E250" s="4">
        <f t="shared" si="19"/>
        <v>190.51816322909997</v>
      </c>
    </row>
    <row r="251" spans="1:5" x14ac:dyDescent="0.4">
      <c r="A251">
        <v>88.25</v>
      </c>
      <c r="B251" s="4">
        <f t="shared" si="17"/>
        <v>2.9180335834558377</v>
      </c>
      <c r="C251" s="4">
        <f t="shared" si="18"/>
        <v>5.4735241403123007</v>
      </c>
      <c r="D251" s="4">
        <f t="shared" si="16"/>
        <v>194.03119415368917</v>
      </c>
      <c r="E251" s="4">
        <f t="shared" si="19"/>
        <v>190.51918546027349</v>
      </c>
    </row>
    <row r="252" spans="1:5" x14ac:dyDescent="0.4">
      <c r="A252">
        <v>88.5</v>
      </c>
      <c r="B252" s="4">
        <f t="shared" si="17"/>
        <v>2.9164646960227003</v>
      </c>
      <c r="C252" s="4">
        <f t="shared" si="18"/>
        <v>5.4624647608401302</v>
      </c>
      <c r="D252" s="4">
        <f t="shared" si="16"/>
        <v>194.02501117219214</v>
      </c>
      <c r="E252" s="4">
        <f t="shared" si="19"/>
        <v>190.52009857187008</v>
      </c>
    </row>
    <row r="253" spans="1:5" x14ac:dyDescent="0.4">
      <c r="A253">
        <v>88.75</v>
      </c>
      <c r="B253" s="4">
        <f t="shared" si="17"/>
        <v>2.9149002327361679</v>
      </c>
      <c r="C253" s="4">
        <f t="shared" si="18"/>
        <v>5.451460403509321</v>
      </c>
      <c r="D253" s="4">
        <f t="shared" si="16"/>
        <v>194.01875545010071</v>
      </c>
      <c r="E253" s="4">
        <f t="shared" si="19"/>
        <v>190.52090363870019</v>
      </c>
    </row>
    <row r="254" spans="1:5" x14ac:dyDescent="0.4">
      <c r="A254">
        <v>89</v>
      </c>
      <c r="B254" s="4">
        <f t="shared" si="17"/>
        <v>2.9133401682612332</v>
      </c>
      <c r="C254" s="4">
        <f t="shared" si="18"/>
        <v>5.4405106403267638</v>
      </c>
      <c r="D254" s="4">
        <f t="shared" si="16"/>
        <v>194.01242777511163</v>
      </c>
      <c r="E254" s="4">
        <f t="shared" si="19"/>
        <v>190.521601723076</v>
      </c>
    </row>
    <row r="255" spans="1:5" x14ac:dyDescent="0.4">
      <c r="A255">
        <v>89.25</v>
      </c>
      <c r="B255" s="4">
        <f t="shared" si="17"/>
        <v>2.9117844774791184</v>
      </c>
      <c r="C255" s="4">
        <f t="shared" si="18"/>
        <v>5.4296150478223488</v>
      </c>
      <c r="D255" s="4">
        <f t="shared" si="16"/>
        <v>194.00602892550123</v>
      </c>
      <c r="E255" s="4">
        <f t="shared" si="19"/>
        <v>190.52219387498758</v>
      </c>
    </row>
    <row r="256" spans="1:5" x14ac:dyDescent="0.4">
      <c r="A256">
        <v>89.5</v>
      </c>
      <c r="B256" s="4">
        <f t="shared" si="17"/>
        <v>2.9102331354848312</v>
      </c>
      <c r="C256" s="4">
        <f t="shared" si="18"/>
        <v>5.4187732069886971</v>
      </c>
      <c r="D256" s="4">
        <f t="shared" si="16"/>
        <v>193.99955967025991</v>
      </c>
      <c r="E256" s="4">
        <f t="shared" si="19"/>
        <v>190.52268113227535</v>
      </c>
    </row>
    <row r="257" spans="1:5" x14ac:dyDescent="0.4">
      <c r="A257">
        <v>89.75</v>
      </c>
      <c r="B257" s="4">
        <f t="shared" si="17"/>
        <v>2.9086861175847445</v>
      </c>
      <c r="C257" s="4">
        <f t="shared" si="18"/>
        <v>5.4079847032217367</v>
      </c>
      <c r="D257" s="4">
        <f t="shared" si="16"/>
        <v>193.99302076922388</v>
      </c>
      <c r="E257" s="4">
        <f t="shared" si="19"/>
        <v>190.52306452080035</v>
      </c>
    </row>
    <row r="258" spans="1:5" x14ac:dyDescent="0.4">
      <c r="A258">
        <v>90</v>
      </c>
      <c r="B258" s="4">
        <f t="shared" si="17"/>
        <v>2.9071433992942244</v>
      </c>
      <c r="C258" s="4">
        <f t="shared" si="18"/>
        <v>5.3972491262623388</v>
      </c>
      <c r="D258" s="4">
        <f t="shared" si="16"/>
        <v>193.98641297320495</v>
      </c>
      <c r="E258" s="4">
        <f t="shared" si="19"/>
        <v>190.52334505461127</v>
      </c>
    </row>
    <row r="259" spans="1:5" x14ac:dyDescent="0.4">
      <c r="A259">
        <v>90.25</v>
      </c>
      <c r="B259" s="4">
        <f t="shared" si="17"/>
        <v>2.905604956335281</v>
      </c>
      <c r="C259" s="4">
        <f t="shared" si="18"/>
        <v>5.3865660701388434</v>
      </c>
      <c r="D259" s="4">
        <f t="shared" si="16"/>
        <v>193.97973702411815</v>
      </c>
      <c r="E259" s="4">
        <f t="shared" si="19"/>
        <v>190.52352373610913</v>
      </c>
    </row>
    <row r="260" spans="1:5" x14ac:dyDescent="0.4">
      <c r="A260">
        <v>90.5</v>
      </c>
      <c r="B260" s="4">
        <f t="shared" si="17"/>
        <v>2.9040707646342527</v>
      </c>
      <c r="C260" s="4">
        <f t="shared" si="18"/>
        <v>5.3759351331104535</v>
      </c>
      <c r="D260" s="4">
        <f t="shared" si="16"/>
        <v>193.97299365510693</v>
      </c>
      <c r="E260" s="4">
        <f t="shared" si="19"/>
        <v>190.52360155620858</v>
      </c>
    </row>
    <row r="261" spans="1:5" x14ac:dyDescent="0.4">
      <c r="A261">
        <v>90.75</v>
      </c>
      <c r="B261" s="4">
        <f t="shared" si="17"/>
        <v>2.9025408003195299</v>
      </c>
      <c r="C261" s="4">
        <f t="shared" si="18"/>
        <v>5.3653559176116392</v>
      </c>
      <c r="D261" s="4">
        <f t="shared" si="16"/>
        <v>193.96618359066673</v>
      </c>
      <c r="E261" s="4">
        <f t="shared" si="19"/>
        <v>190.52357949449731</v>
      </c>
    </row>
    <row r="262" spans="1:5" x14ac:dyDescent="0.4">
      <c r="A262">
        <v>91</v>
      </c>
      <c r="B262" s="4">
        <f t="shared" si="17"/>
        <v>2.9010150397193009</v>
      </c>
      <c r="C262" s="4">
        <f t="shared" si="18"/>
        <v>5.3548280301973303</v>
      </c>
      <c r="D262" s="4">
        <f t="shared" si="16"/>
        <v>193.95930754676627</v>
      </c>
      <c r="E262" s="4">
        <f t="shared" si="19"/>
        <v>190.52345851939248</v>
      </c>
    </row>
    <row r="263" spans="1:5" x14ac:dyDescent="0.4">
      <c r="A263">
        <v>91.25</v>
      </c>
      <c r="B263" s="4">
        <f t="shared" si="17"/>
        <v>2.8994934593593369</v>
      </c>
      <c r="C263" s="4">
        <f t="shared" si="18"/>
        <v>5.3443510814890223</v>
      </c>
      <c r="D263" s="4">
        <f t="shared" si="16"/>
        <v>193.95236623096665</v>
      </c>
      <c r="E263" s="4">
        <f t="shared" si="19"/>
        <v>190.52323958829436</v>
      </c>
    </row>
    <row r="264" spans="1:5" x14ac:dyDescent="0.4">
      <c r="A264">
        <v>91.5</v>
      </c>
      <c r="B264" s="4">
        <f t="shared" si="17"/>
        <v>2.8979760359608031</v>
      </c>
      <c r="C264" s="4">
        <f t="shared" si="18"/>
        <v>5.33392468612172</v>
      </c>
      <c r="D264" s="4">
        <f t="shared" si="16"/>
        <v>193.94536034253898</v>
      </c>
      <c r="E264" s="4">
        <f t="shared" si="19"/>
        <v>190.52292364773794</v>
      </c>
    </row>
    <row r="265" spans="1:5" x14ac:dyDescent="0.4">
      <c r="A265">
        <v>91.75</v>
      </c>
      <c r="B265" s="4">
        <f t="shared" si="17"/>
        <v>2.8964627464381008</v>
      </c>
      <c r="C265" s="4">
        <f t="shared" si="18"/>
        <v>5.323548462691698</v>
      </c>
      <c r="D265" s="4">
        <f t="shared" si="16"/>
        <v>193.93829057257958</v>
      </c>
      <c r="E265" s="4">
        <f t="shared" si="19"/>
        <v>190.52251163354194</v>
      </c>
    </row>
    <row r="266" spans="1:5" x14ac:dyDescent="0.4">
      <c r="A266">
        <v>92</v>
      </c>
      <c r="B266" s="4">
        <f t="shared" si="17"/>
        <v>2.8949535678967422</v>
      </c>
      <c r="C266" s="4">
        <f t="shared" si="18"/>
        <v>5.313222033705145</v>
      </c>
      <c r="D266" s="4">
        <f t="shared" si="16"/>
        <v>193.93115760412365</v>
      </c>
      <c r="E266" s="4">
        <f t="shared" si="19"/>
        <v>190.52200447095498</v>
      </c>
    </row>
    <row r="267" spans="1:5" x14ac:dyDescent="0.4">
      <c r="A267">
        <v>92.25</v>
      </c>
      <c r="B267" s="4">
        <f t="shared" si="17"/>
        <v>2.8934484776312472</v>
      </c>
      <c r="C267" s="4">
        <f t="shared" si="18"/>
        <v>5.3029450255275261</v>
      </c>
      <c r="D267" s="4">
        <f t="shared" si="16"/>
        <v>193.92396211225682</v>
      </c>
      <c r="E267" s="4">
        <f t="shared" si="19"/>
        <v>190.52140307479991</v>
      </c>
    </row>
    <row r="268" spans="1:5" x14ac:dyDescent="0.4">
      <c r="A268">
        <v>92.5</v>
      </c>
      <c r="B268" s="4">
        <f t="shared" si="17"/>
        <v>2.8919474531230782</v>
      </c>
      <c r="C268" s="4">
        <f t="shared" si="18"/>
        <v>5.2927170683337952</v>
      </c>
      <c r="D268" s="4">
        <f t="shared" si="16"/>
        <v>193.91670476422507</v>
      </c>
      <c r="E268" s="4">
        <f t="shared" si="19"/>
        <v>190.5207083496158</v>
      </c>
    </row>
    <row r="269" spans="1:5" x14ac:dyDescent="0.4">
      <c r="A269">
        <v>92.75</v>
      </c>
      <c r="B269" s="4">
        <f t="shared" si="17"/>
        <v>2.8904504720385944</v>
      </c>
      <c r="C269" s="4">
        <f t="shared" si="18"/>
        <v>5.2825377960593594</v>
      </c>
      <c r="D269" s="4">
        <f t="shared" si="16"/>
        <v>193.90938621954285</v>
      </c>
      <c r="E269" s="4">
        <f t="shared" si="19"/>
        <v>190.51992118979717</v>
      </c>
    </row>
    <row r="270" spans="1:5" x14ac:dyDescent="0.4">
      <c r="A270">
        <v>93</v>
      </c>
      <c r="B270" s="4">
        <f t="shared" si="17"/>
        <v>2.8889575122270408</v>
      </c>
      <c r="C270" s="4">
        <f t="shared" si="18"/>
        <v>5.272406846351819</v>
      </c>
      <c r="D270" s="4">
        <f t="shared" si="16"/>
        <v>193.90200713009929</v>
      </c>
      <c r="E270" s="4">
        <f t="shared" si="19"/>
        <v>190.51904247973138</v>
      </c>
    </row>
    <row r="271" spans="1:5" x14ac:dyDescent="0.4">
      <c r="A271">
        <v>93.25</v>
      </c>
      <c r="B271" s="4">
        <f t="shared" si="17"/>
        <v>2.8874685517185594</v>
      </c>
      <c r="C271" s="4">
        <f t="shared" si="18"/>
        <v>5.2623238605234404</v>
      </c>
      <c r="D271" s="4">
        <f t="shared" ref="D271:D334" si="20">$B$6*$B$12/9.81*($B$9*SQRT(2/($B$9-1)*(2/($B$9+1))^(($B$9+1)/($B$9-1))*(1 - (A271/$B$3)^(($B$9-1)/$B$9))) + C271/$B$3*(A271 - $I$8))</f>
        <v>193.89456814026286</v>
      </c>
      <c r="E271" s="4">
        <f t="shared" si="19"/>
        <v>190.51807309393379</v>
      </c>
    </row>
    <row r="272" spans="1:5" x14ac:dyDescent="0.4">
      <c r="A272">
        <v>93.5</v>
      </c>
      <c r="B272" s="4">
        <f t="shared" ref="B272:B318" si="21">SQRT(2/($B$9-1)*((A272/$B$3)^((1-$B$9)/$B$9) - 1))</f>
        <v>2.8859835687222302</v>
      </c>
      <c r="C272" s="4">
        <f t="shared" ref="C272:C318" si="22">1/B272*(2/($B$9+1)*(1 + ($B$9-1)/2*B272^2))^(($B$9+1)/(2*$B$9-2))</f>
        <v>5.2522884835043557</v>
      </c>
      <c r="D272" s="4">
        <f t="shared" si="20"/>
        <v>193.88706988698436</v>
      </c>
      <c r="E272" s="4">
        <f t="shared" ref="E272:E318" si="23">$B$6*$B$12/9.81*($B$9*SQRT(2/($B$9-1)*(2/($B$9+1))^(($B$9+1)/($B$9-1))*(1 - (A272/$B$3)^(($B$9-1)/$B$9))) + C272/$B$3*(A272 - $E$4))</f>
        <v>190.51701389718073</v>
      </c>
    </row>
    <row r="273" spans="1:5" x14ac:dyDescent="0.4">
      <c r="A273">
        <v>93.75</v>
      </c>
      <c r="B273" s="4">
        <f t="shared" si="21"/>
        <v>2.8845025416241388</v>
      </c>
      <c r="C273" s="4">
        <f t="shared" si="22"/>
        <v>5.2423003637965415</v>
      </c>
      <c r="D273" s="4">
        <f t="shared" si="20"/>
        <v>193.87951299989803</v>
      </c>
      <c r="E273" s="4">
        <f t="shared" si="23"/>
        <v>190.51586574464008</v>
      </c>
    </row>
    <row r="274" spans="1:5" x14ac:dyDescent="0.4">
      <c r="A274">
        <v>94</v>
      </c>
      <c r="B274" s="4">
        <f t="shared" si="21"/>
        <v>2.8830254489854656</v>
      </c>
      <c r="C274" s="4">
        <f t="shared" si="22"/>
        <v>5.232359153428388</v>
      </c>
      <c r="D274" s="4">
        <f t="shared" si="20"/>
        <v>193.87189810142118</v>
      </c>
      <c r="E274" s="4">
        <f t="shared" si="23"/>
        <v>190.5146294820002</v>
      </c>
    </row>
    <row r="275" spans="1:5" x14ac:dyDescent="0.4">
      <c r="A275">
        <v>94.25</v>
      </c>
      <c r="B275" s="4">
        <f t="shared" si="21"/>
        <v>2.8815522695406086</v>
      </c>
      <c r="C275" s="4">
        <f t="shared" si="22"/>
        <v>5.2224645079101109</v>
      </c>
      <c r="D275" s="4">
        <f t="shared" si="20"/>
        <v>193.86422580685246</v>
      </c>
      <c r="E275" s="4">
        <f t="shared" si="23"/>
        <v>190.51330594559673</v>
      </c>
    </row>
    <row r="276" spans="1:5" x14ac:dyDescent="0.4">
      <c r="A276">
        <v>94.5</v>
      </c>
      <c r="B276" s="4">
        <f t="shared" si="21"/>
        <v>2.8800829821953244</v>
      </c>
      <c r="C276" s="4">
        <f t="shared" si="22"/>
        <v>5.212616086189727</v>
      </c>
      <c r="D276" s="4">
        <f t="shared" si="20"/>
        <v>193.85649672446814</v>
      </c>
      <c r="E276" s="4">
        <f t="shared" si="23"/>
        <v>190.51189596253704</v>
      </c>
    </row>
    <row r="277" spans="1:5" x14ac:dyDescent="0.4">
      <c r="A277">
        <v>94.75</v>
      </c>
      <c r="B277" s="4">
        <f t="shared" si="21"/>
        <v>2.8786175660248934</v>
      </c>
      <c r="C277" s="4">
        <f t="shared" si="22"/>
        <v>5.2028135506097399</v>
      </c>
      <c r="D277" s="4">
        <f t="shared" si="20"/>
        <v>193.84871145561701</v>
      </c>
      <c r="E277" s="4">
        <f t="shared" si="23"/>
        <v>190.51040035082306</v>
      </c>
    </row>
    <row r="278" spans="1:5" x14ac:dyDescent="0.4">
      <c r="A278">
        <v>95</v>
      </c>
      <c r="B278" s="4">
        <f t="shared" si="21"/>
        <v>2.8771560002723189</v>
      </c>
      <c r="C278" s="4">
        <f t="shared" si="22"/>
        <v>5.1930565668645263</v>
      </c>
      <c r="D278" s="4">
        <f t="shared" si="20"/>
        <v>193.84087059481399</v>
      </c>
      <c r="E278" s="4">
        <f t="shared" si="23"/>
        <v>190.50881991947213</v>
      </c>
    </row>
    <row r="279" spans="1:5" x14ac:dyDescent="0.4">
      <c r="A279">
        <v>95.25</v>
      </c>
      <c r="B279" s="4">
        <f t="shared" si="21"/>
        <v>2.8756982643465361</v>
      </c>
      <c r="C279" s="4">
        <f t="shared" si="22"/>
        <v>5.1833448039582661</v>
      </c>
      <c r="D279" s="4">
        <f t="shared" si="20"/>
        <v>193.83297472983188</v>
      </c>
      <c r="E279" s="4">
        <f t="shared" si="23"/>
        <v>190.5071554686358</v>
      </c>
    </row>
    <row r="280" spans="1:5" x14ac:dyDescent="0.4">
      <c r="A280">
        <v>95.5</v>
      </c>
      <c r="B280" s="4">
        <f t="shared" si="21"/>
        <v>2.8742443378206586</v>
      </c>
      <c r="C280" s="4">
        <f t="shared" si="22"/>
        <v>5.1736779341636518</v>
      </c>
      <c r="D280" s="4">
        <f t="shared" si="20"/>
        <v>193.82502444179212</v>
      </c>
      <c r="E280" s="4">
        <f t="shared" si="23"/>
        <v>190.50540778971705</v>
      </c>
    </row>
    <row r="281" spans="1:5" x14ac:dyDescent="0.4">
      <c r="A281">
        <v>95.75</v>
      </c>
      <c r="B281" s="4">
        <f t="shared" si="21"/>
        <v>2.8727942004302389</v>
      </c>
      <c r="C281" s="4">
        <f t="shared" si="22"/>
        <v>5.1640556329810918</v>
      </c>
      <c r="D281" s="4">
        <f t="shared" si="20"/>
        <v>193.81702030525364</v>
      </c>
      <c r="E281" s="4">
        <f t="shared" si="23"/>
        <v>190.50357766548535</v>
      </c>
    </row>
    <row r="282" spans="1:5" x14ac:dyDescent="0.4">
      <c r="A282">
        <v>96</v>
      </c>
      <c r="B282" s="4">
        <f t="shared" si="21"/>
        <v>2.8713478320715531</v>
      </c>
      <c r="C282" s="4">
        <f t="shared" si="22"/>
        <v>5.1544775790985664</v>
      </c>
      <c r="D282" s="4">
        <f t="shared" si="20"/>
        <v>193.80896288830053</v>
      </c>
      <c r="E282" s="4">
        <f t="shared" si="23"/>
        <v>190.5016658701901</v>
      </c>
    </row>
    <row r="283" spans="1:5" x14ac:dyDescent="0.4">
      <c r="A283">
        <v>96.25</v>
      </c>
      <c r="B283" s="4">
        <f t="shared" si="21"/>
        <v>2.8699052127999121</v>
      </c>
      <c r="C283" s="4">
        <f t="shared" si="22"/>
        <v>5.1449434543521413</v>
      </c>
      <c r="D283" s="4">
        <f t="shared" si="20"/>
        <v>193.80085275262849</v>
      </c>
      <c r="E283" s="4">
        <f t="shared" si="23"/>
        <v>190.49967316967232</v>
      </c>
    </row>
    <row r="284" spans="1:5" x14ac:dyDescent="0.4">
      <c r="A284">
        <v>96.5</v>
      </c>
      <c r="B284" s="4">
        <f t="shared" si="21"/>
        <v>2.8684663228279907</v>
      </c>
      <c r="C284" s="4">
        <f t="shared" si="22"/>
        <v>5.1354529436869933</v>
      </c>
      <c r="D284" s="4">
        <f t="shared" si="20"/>
        <v>193.79269045362975</v>
      </c>
      <c r="E284" s="4">
        <f t="shared" si="23"/>
        <v>190.49760032147464</v>
      </c>
    </row>
    <row r="285" spans="1:5" x14ac:dyDescent="0.4">
      <c r="A285">
        <v>96.75</v>
      </c>
      <c r="B285" s="4">
        <f t="shared" si="21"/>
        <v>2.8670311425241817</v>
      </c>
      <c r="C285" s="4">
        <f t="shared" si="22"/>
        <v>5.1260057351190582</v>
      </c>
      <c r="D285" s="4">
        <f t="shared" si="20"/>
        <v>193.78447654047648</v>
      </c>
      <c r="E285" s="4">
        <f t="shared" si="23"/>
        <v>190.49544807494939</v>
      </c>
    </row>
    <row r="286" spans="1:5" x14ac:dyDescent="0.4">
      <c r="A286">
        <v>97</v>
      </c>
      <c r="B286" s="4">
        <f t="shared" si="21"/>
        <v>2.8655996524109679</v>
      </c>
      <c r="C286" s="4">
        <f t="shared" si="22"/>
        <v>5.1166015196972605</v>
      </c>
      <c r="D286" s="4">
        <f t="shared" si="20"/>
        <v>193.77621155620344</v>
      </c>
      <c r="E286" s="4">
        <f t="shared" si="23"/>
        <v>190.49321717136539</v>
      </c>
    </row>
    <row r="287" spans="1:5" x14ac:dyDescent="0.4">
      <c r="A287">
        <v>97.25</v>
      </c>
      <c r="B287" s="4">
        <f t="shared" si="21"/>
        <v>2.8641718331633208</v>
      </c>
      <c r="C287" s="4">
        <f t="shared" si="22"/>
        <v>5.1072399914662672</v>
      </c>
      <c r="D287" s="4">
        <f t="shared" si="20"/>
        <v>193.76789603778877</v>
      </c>
      <c r="E287" s="4">
        <f t="shared" si="23"/>
        <v>190.49090834401267</v>
      </c>
    </row>
    <row r="288" spans="1:5" x14ac:dyDescent="0.4">
      <c r="A288">
        <v>97.5</v>
      </c>
      <c r="B288" s="4">
        <f t="shared" si="21"/>
        <v>2.8627476656071122</v>
      </c>
      <c r="C288" s="4">
        <f t="shared" si="22"/>
        <v>5.0979208474298323</v>
      </c>
      <c r="D288" s="4">
        <f t="shared" si="20"/>
        <v>193.75953051623381</v>
      </c>
      <c r="E288" s="4">
        <f t="shared" si="23"/>
        <v>190.48852231830577</v>
      </c>
    </row>
    <row r="289" spans="1:5" x14ac:dyDescent="0.4">
      <c r="A289">
        <v>97.75</v>
      </c>
      <c r="B289" s="4">
        <f t="shared" si="21"/>
        <v>2.8613271307175538</v>
      </c>
      <c r="C289" s="4">
        <f t="shared" si="22"/>
        <v>5.0886437875146191</v>
      </c>
      <c r="D289" s="4">
        <f t="shared" si="20"/>
        <v>193.75111551664179</v>
      </c>
      <c r="E289" s="4">
        <f t="shared" si="23"/>
        <v>190.48605981188567</v>
      </c>
    </row>
    <row r="290" spans="1:5" x14ac:dyDescent="0.4">
      <c r="A290">
        <v>98</v>
      </c>
      <c r="B290" s="4">
        <f t="shared" si="21"/>
        <v>2.8599102096176536</v>
      </c>
      <c r="C290" s="4">
        <f t="shared" si="22"/>
        <v>5.0794085145346726</v>
      </c>
      <c r="D290" s="4">
        <f t="shared" si="20"/>
        <v>193.74265155829494</v>
      </c>
      <c r="E290" s="4">
        <f t="shared" si="23"/>
        <v>190.48352153471978</v>
      </c>
    </row>
    <row r="291" spans="1:5" x14ac:dyDescent="0.4">
      <c r="A291">
        <v>98.25</v>
      </c>
      <c r="B291" s="4">
        <f t="shared" si="21"/>
        <v>2.858496883576692</v>
      </c>
      <c r="C291" s="4">
        <f t="shared" si="22"/>
        <v>5.0702147341562922</v>
      </c>
      <c r="D291" s="4">
        <f t="shared" si="20"/>
        <v>193.73413915473103</v>
      </c>
      <c r="E291" s="4">
        <f t="shared" si="23"/>
        <v>190.48090818920082</v>
      </c>
    </row>
    <row r="292" spans="1:5" x14ac:dyDescent="0.4">
      <c r="A292">
        <v>98.5</v>
      </c>
      <c r="B292" s="4">
        <f t="shared" si="21"/>
        <v>2.8570871340087147</v>
      </c>
      <c r="C292" s="4">
        <f t="shared" si="22"/>
        <v>5.0610621548634578</v>
      </c>
      <c r="D292" s="4">
        <f t="shared" si="20"/>
        <v>193.72557881381778</v>
      </c>
      <c r="E292" s="4">
        <f t="shared" si="23"/>
        <v>190.47822047024366</v>
      </c>
    </row>
    <row r="293" spans="1:5" x14ac:dyDescent="0.4">
      <c r="A293">
        <v>98.75</v>
      </c>
      <c r="B293" s="4">
        <f t="shared" si="21"/>
        <v>2.8556809424710554</v>
      </c>
      <c r="C293" s="4">
        <f t="shared" si="22"/>
        <v>5.0519504879238246</v>
      </c>
      <c r="D293" s="4">
        <f t="shared" si="20"/>
        <v>193.71697103782725</v>
      </c>
      <c r="E293" s="4">
        <f t="shared" si="23"/>
        <v>190.47545906538133</v>
      </c>
    </row>
    <row r="294" spans="1:5" x14ac:dyDescent="0.4">
      <c r="A294">
        <v>99</v>
      </c>
      <c r="B294" s="4">
        <f t="shared" si="21"/>
        <v>2.8542782906628634</v>
      </c>
      <c r="C294" s="4">
        <f t="shared" si="22"/>
        <v>5.0428794473551184</v>
      </c>
      <c r="D294" s="4">
        <f t="shared" si="20"/>
        <v>193.70831632350823</v>
      </c>
      <c r="E294" s="4">
        <f t="shared" si="23"/>
        <v>190.47262465485909</v>
      </c>
    </row>
    <row r="295" spans="1:5" x14ac:dyDescent="0.4">
      <c r="A295">
        <v>99.25</v>
      </c>
      <c r="B295" s="4">
        <f t="shared" si="21"/>
        <v>2.8528791604236581</v>
      </c>
      <c r="C295" s="4">
        <f t="shared" si="22"/>
        <v>5.0338487498920577</v>
      </c>
      <c r="D295" s="4">
        <f t="shared" si="20"/>
        <v>193.69961516215787</v>
      </c>
      <c r="E295" s="4">
        <f t="shared" si="23"/>
        <v>190.4697179117272</v>
      </c>
    </row>
    <row r="296" spans="1:5" x14ac:dyDescent="0.4">
      <c r="A296">
        <v>99.5</v>
      </c>
      <c r="B296" s="4">
        <f t="shared" si="21"/>
        <v>2.8514835337319027</v>
      </c>
      <c r="C296" s="4">
        <f t="shared" si="22"/>
        <v>5.024858114953819</v>
      </c>
      <c r="D296" s="4">
        <f t="shared" si="20"/>
        <v>193.6908680396923</v>
      </c>
      <c r="E296" s="4">
        <f t="shared" si="23"/>
        <v>190.46673950193249</v>
      </c>
    </row>
    <row r="297" spans="1:5" x14ac:dyDescent="0.4">
      <c r="A297">
        <v>99.75</v>
      </c>
      <c r="B297" s="4">
        <f t="shared" si="21"/>
        <v>2.85009139270359</v>
      </c>
      <c r="C297" s="4">
        <f t="shared" si="22"/>
        <v>5.015907264611843</v>
      </c>
      <c r="D297" s="4">
        <f t="shared" si="20"/>
        <v>193.68207543671605</v>
      </c>
      <c r="E297" s="4">
        <f t="shared" si="23"/>
        <v>190.46369008440837</v>
      </c>
    </row>
    <row r="298" spans="1:5" x14ac:dyDescent="0.4">
      <c r="A298">
        <v>100</v>
      </c>
      <c r="B298" s="4">
        <f t="shared" si="21"/>
        <v>2.848702719590853</v>
      </c>
      <c r="C298" s="4">
        <f t="shared" si="22"/>
        <v>5.0069959235582262</v>
      </c>
      <c r="D298" s="4">
        <f t="shared" si="20"/>
        <v>193.67323782859032</v>
      </c>
      <c r="E298" s="4">
        <f t="shared" si="23"/>
        <v>190.46057031116339</v>
      </c>
    </row>
    <row r="299" spans="1:5" x14ac:dyDescent="0.4">
      <c r="A299">
        <v>100.25</v>
      </c>
      <c r="B299" s="4">
        <f t="shared" si="21"/>
        <v>2.847317496780589</v>
      </c>
      <c r="C299" s="4">
        <f t="shared" si="22"/>
        <v>4.9981238190745092</v>
      </c>
      <c r="D299" s="4">
        <f t="shared" si="20"/>
        <v>193.66435568550042</v>
      </c>
      <c r="E299" s="4">
        <f t="shared" si="23"/>
        <v>190.45738082736887</v>
      </c>
    </row>
    <row r="300" spans="1:5" x14ac:dyDescent="0.4">
      <c r="A300">
        <v>100.5</v>
      </c>
      <c r="B300" s="4">
        <f t="shared" si="21"/>
        <v>2.8459357067930982</v>
      </c>
      <c r="C300" s="4">
        <f t="shared" si="22"/>
        <v>4.9892906810009094</v>
      </c>
      <c r="D300" s="4">
        <f t="shared" si="20"/>
        <v>193.65542947252209</v>
      </c>
      <c r="E300" s="4">
        <f t="shared" si="23"/>
        <v>190.45412227144465</v>
      </c>
    </row>
    <row r="301" spans="1:5" x14ac:dyDescent="0.4">
      <c r="A301">
        <v>100.75</v>
      </c>
      <c r="B301" s="4">
        <f t="shared" si="21"/>
        <v>2.8445573322807474</v>
      </c>
      <c r="C301" s="4">
        <f t="shared" si="22"/>
        <v>4.9804962417060308</v>
      </c>
      <c r="D301" s="4">
        <f t="shared" si="20"/>
        <v>193.64645964968702</v>
      </c>
      <c r="E301" s="4">
        <f t="shared" si="23"/>
        <v>190.45079527514429</v>
      </c>
    </row>
    <row r="302" spans="1:5" x14ac:dyDescent="0.4">
      <c r="A302">
        <v>101</v>
      </c>
      <c r="B302" s="4">
        <f t="shared" si="21"/>
        <v>2.8431823560266456</v>
      </c>
      <c r="C302" s="4">
        <f t="shared" si="22"/>
        <v>4.9717402360569825</v>
      </c>
      <c r="D302" s="4">
        <f t="shared" si="20"/>
        <v>193.63744667204693</v>
      </c>
      <c r="E302" s="4">
        <f t="shared" si="23"/>
        <v>190.44740046363825</v>
      </c>
    </row>
    <row r="303" spans="1:5" x14ac:dyDescent="0.4">
      <c r="A303">
        <v>101.25</v>
      </c>
      <c r="B303" s="4">
        <f t="shared" si="21"/>
        <v>2.8418107609433303</v>
      </c>
      <c r="C303" s="4">
        <f t="shared" si="22"/>
        <v>4.9630224013898996</v>
      </c>
      <c r="D303" s="4">
        <f t="shared" si="20"/>
        <v>193.62839098973706</v>
      </c>
      <c r="E303" s="4">
        <f t="shared" si="23"/>
        <v>190.44393845559631</v>
      </c>
    </row>
    <row r="304" spans="1:5" x14ac:dyDescent="0.4">
      <c r="A304">
        <v>101.5</v>
      </c>
      <c r="B304" s="4">
        <f t="shared" si="21"/>
        <v>2.8404425300714853</v>
      </c>
      <c r="C304" s="4">
        <f t="shared" si="22"/>
        <v>4.9543424774809397</v>
      </c>
      <c r="D304" s="4">
        <f t="shared" si="20"/>
        <v>193.61929304803888</v>
      </c>
      <c r="E304" s="4">
        <f t="shared" si="23"/>
        <v>190.44040986326885</v>
      </c>
    </row>
    <row r="305" spans="1:5" x14ac:dyDescent="0.4">
      <c r="A305">
        <v>101.75</v>
      </c>
      <c r="B305" s="4">
        <f t="shared" si="21"/>
        <v>2.8390776465786591</v>
      </c>
      <c r="C305" s="4">
        <f t="shared" si="22"/>
        <v>4.9457002065176656</v>
      </c>
      <c r="D305" s="4">
        <f t="shared" si="20"/>
        <v>193.61015328744131</v>
      </c>
      <c r="E305" s="4">
        <f t="shared" si="23"/>
        <v>190.43681529256642</v>
      </c>
    </row>
    <row r="306" spans="1:5" x14ac:dyDescent="0.4">
      <c r="A306">
        <v>102</v>
      </c>
      <c r="B306" s="4">
        <f t="shared" si="21"/>
        <v>2.8377160937580066</v>
      </c>
      <c r="C306" s="4">
        <f t="shared" si="22"/>
        <v>4.9370953330707961</v>
      </c>
      <c r="D306" s="4">
        <f t="shared" si="20"/>
        <v>193.60097214370134</v>
      </c>
      <c r="E306" s="4">
        <f t="shared" si="23"/>
        <v>190.43315534313868</v>
      </c>
    </row>
    <row r="307" spans="1:5" x14ac:dyDescent="0.4">
      <c r="A307">
        <v>102.25</v>
      </c>
      <c r="B307" s="4">
        <f t="shared" si="21"/>
        <v>2.8363578550270478</v>
      </c>
      <c r="C307" s="4">
        <f t="shared" si="22"/>
        <v>4.9285276040664288</v>
      </c>
      <c r="D307" s="4">
        <f t="shared" si="20"/>
        <v>193.59175004790413</v>
      </c>
      <c r="E307" s="4">
        <f t="shared" si="23"/>
        <v>190.42943060845195</v>
      </c>
    </row>
    <row r="308" spans="1:5" x14ac:dyDescent="0.4">
      <c r="A308">
        <v>102.5</v>
      </c>
      <c r="B308" s="4">
        <f t="shared" si="21"/>
        <v>2.8350029139264343</v>
      </c>
      <c r="C308" s="4">
        <f t="shared" si="22"/>
        <v>4.9199967687585664</v>
      </c>
      <c r="D308" s="4">
        <f t="shared" si="20"/>
        <v>193.58248742652128</v>
      </c>
      <c r="E308" s="4">
        <f t="shared" si="23"/>
        <v>190.42564167586539</v>
      </c>
    </row>
    <row r="309" spans="1:5" x14ac:dyDescent="0.4">
      <c r="A309">
        <v>102.75</v>
      </c>
      <c r="B309" s="4">
        <f t="shared" si="21"/>
        <v>2.8336512541187413</v>
      </c>
      <c r="C309" s="4">
        <f t="shared" si="22"/>
        <v>4.9115025787021329</v>
      </c>
      <c r="D309" s="4">
        <f t="shared" si="20"/>
        <v>193.57318470146919</v>
      </c>
      <c r="E309" s="4">
        <f t="shared" si="23"/>
        <v>190.42178912670678</v>
      </c>
    </row>
    <row r="310" spans="1:5" x14ac:dyDescent="0.4">
      <c r="A310">
        <v>103</v>
      </c>
      <c r="B310" s="4">
        <f t="shared" si="21"/>
        <v>2.832302859387267</v>
      </c>
      <c r="C310" s="4">
        <f t="shared" si="22"/>
        <v>4.9030447877262722</v>
      </c>
      <c r="D310" s="4">
        <f t="shared" si="20"/>
        <v>193.56384229016629</v>
      </c>
      <c r="E310" s="4">
        <f t="shared" si="23"/>
        <v>190.41787353634646</v>
      </c>
    </row>
    <row r="311" spans="1:5" x14ac:dyDescent="0.4">
      <c r="A311">
        <v>103.25</v>
      </c>
      <c r="B311" s="4">
        <f t="shared" si="21"/>
        <v>2.8309577136348456</v>
      </c>
      <c r="C311" s="4">
        <f t="shared" si="22"/>
        <v>4.8946231519080721</v>
      </c>
      <c r="D311" s="4">
        <f t="shared" si="20"/>
        <v>193.55446060558873</v>
      </c>
      <c r="E311" s="4">
        <f t="shared" si="23"/>
        <v>190.41389547427028</v>
      </c>
    </row>
    <row r="312" spans="1:5" x14ac:dyDescent="0.4">
      <c r="A312">
        <v>103.5</v>
      </c>
      <c r="B312" s="4">
        <f t="shared" si="21"/>
        <v>2.8296158008826824</v>
      </c>
      <c r="C312" s="4">
        <f t="shared" si="22"/>
        <v>4.8862374295466369</v>
      </c>
      <c r="D312" s="4">
        <f t="shared" si="20"/>
        <v>193.54504005632649</v>
      </c>
      <c r="E312" s="4">
        <f t="shared" si="23"/>
        <v>190.40985550415206</v>
      </c>
    </row>
    <row r="313" spans="1:5" x14ac:dyDescent="0.4">
      <c r="A313">
        <v>103.75</v>
      </c>
      <c r="B313" s="4">
        <f t="shared" si="21"/>
        <v>2.8282771052691973</v>
      </c>
      <c r="C313" s="4">
        <f t="shared" si="22"/>
        <v>4.8778873811375574</v>
      </c>
      <c r="D313" s="4">
        <f t="shared" si="20"/>
        <v>193.53558104663765</v>
      </c>
      <c r="E313" s="4">
        <f t="shared" si="23"/>
        <v>190.40575418392461</v>
      </c>
    </row>
    <row r="314" spans="1:5" x14ac:dyDescent="0.4">
      <c r="A314">
        <v>104</v>
      </c>
      <c r="B314" s="4">
        <f t="shared" si="21"/>
        <v>2.826941611048881</v>
      </c>
      <c r="C314" s="4">
        <f t="shared" si="22"/>
        <v>4.8695727693476334</v>
      </c>
      <c r="D314" s="4">
        <f t="shared" si="20"/>
        <v>193.52608397650229</v>
      </c>
      <c r="E314" s="4">
        <f t="shared" si="23"/>
        <v>190.40159206584937</v>
      </c>
    </row>
    <row r="315" spans="1:5" x14ac:dyDescent="0.4">
      <c r="A315">
        <v>104.25</v>
      </c>
      <c r="B315" s="4">
        <f t="shared" si="21"/>
        <v>2.8256093025911713</v>
      </c>
      <c r="C315" s="4">
        <f t="shared" si="22"/>
        <v>4.8612933589901086</v>
      </c>
      <c r="D315" s="4">
        <f t="shared" si="20"/>
        <v>193.51654924167556</v>
      </c>
      <c r="E315" s="4">
        <f t="shared" si="23"/>
        <v>190.39736969658577</v>
      </c>
    </row>
    <row r="316" spans="1:5" x14ac:dyDescent="0.4">
      <c r="A316">
        <v>104.5</v>
      </c>
      <c r="B316" s="4">
        <f t="shared" si="21"/>
        <v>2.824280164379338</v>
      </c>
      <c r="C316" s="4">
        <f t="shared" si="22"/>
        <v>4.8530489170001063</v>
      </c>
      <c r="D316" s="4">
        <f t="shared" si="20"/>
        <v>193.50697723374009</v>
      </c>
      <c r="E316" s="4">
        <f t="shared" si="23"/>
        <v>190.39308761725923</v>
      </c>
    </row>
    <row r="317" spans="1:5" x14ac:dyDescent="0.4">
      <c r="A317">
        <v>104.75</v>
      </c>
      <c r="B317" s="4">
        <f t="shared" si="21"/>
        <v>2.8229541810093814</v>
      </c>
      <c r="C317" s="4">
        <f t="shared" si="22"/>
        <v>4.8448392124104283</v>
      </c>
      <c r="D317" s="4">
        <f t="shared" si="20"/>
        <v>193.49736834015741</v>
      </c>
      <c r="E317" s="4">
        <f t="shared" si="23"/>
        <v>190.38874636352796</v>
      </c>
    </row>
    <row r="318" spans="1:5" x14ac:dyDescent="0.4">
      <c r="A318">
        <v>105</v>
      </c>
      <c r="B318" s="4">
        <f t="shared" si="21"/>
        <v>2.8216313371889474</v>
      </c>
      <c r="C318" s="4">
        <f t="shared" si="22"/>
        <v>4.8366640163277808</v>
      </c>
      <c r="D318" s="4">
        <f t="shared" si="20"/>
        <v>193.48772294431868</v>
      </c>
      <c r="E318" s="4">
        <f t="shared" si="23"/>
        <v>190.38434646564934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4"/>
  <sheetViews>
    <sheetView workbookViewId="0">
      <selection activeCell="B18" sqref="B18"/>
    </sheetView>
  </sheetViews>
  <sheetFormatPr defaultColWidth="9.07421875" defaultRowHeight="14.6" x14ac:dyDescent="0.4"/>
  <cols>
    <col min="1" max="1" width="16.07421875" style="26" bestFit="1" customWidth="1"/>
    <col min="2" max="3" width="12" style="26" bestFit="1" customWidth="1"/>
    <col min="4" max="8" width="9.07421875" style="26"/>
    <col min="9" max="9" width="18.53515625" style="26" customWidth="1"/>
    <col min="10" max="10" width="22" style="26" customWidth="1"/>
    <col min="11" max="16384" width="9.07421875" style="26"/>
  </cols>
  <sheetData>
    <row r="1" spans="1:2" x14ac:dyDescent="0.4">
      <c r="A1" s="26" t="s">
        <v>89</v>
      </c>
      <c r="B1" s="26">
        <v>1000</v>
      </c>
    </row>
    <row r="2" spans="1:2" x14ac:dyDescent="0.4">
      <c r="A2" s="26" t="s">
        <v>90</v>
      </c>
      <c r="B2" s="26">
        <v>0.1</v>
      </c>
    </row>
    <row r="3" spans="1:2" x14ac:dyDescent="0.4">
      <c r="A3" s="26" t="s">
        <v>91</v>
      </c>
      <c r="B3" s="26">
        <v>5</v>
      </c>
    </row>
    <row r="4" spans="1:2" x14ac:dyDescent="0.4">
      <c r="A4" s="26" t="s">
        <v>92</v>
      </c>
      <c r="B4" s="4">
        <f>'OF4.5 - High Alt'!E4*1000</f>
        <v>85581.205816462185</v>
      </c>
    </row>
    <row r="5" spans="1:2" x14ac:dyDescent="0.4">
      <c r="A5" s="26" t="s">
        <v>93</v>
      </c>
      <c r="B5" s="26">
        <v>290.3503</v>
      </c>
    </row>
    <row r="6" spans="1:2" x14ac:dyDescent="0.4">
      <c r="A6" s="26" t="s">
        <v>94</v>
      </c>
      <c r="B6" s="4">
        <f>'OF4.5 - High Alt'!I20</f>
        <v>27.215542200000002</v>
      </c>
    </row>
    <row r="7" spans="1:2" x14ac:dyDescent="0.4">
      <c r="A7" s="26" t="s">
        <v>95</v>
      </c>
      <c r="B7" s="26">
        <f>'OF4.5 - High Alt'!I23</f>
        <v>1.822222329754811</v>
      </c>
    </row>
    <row r="8" spans="1:2" x14ac:dyDescent="0.4">
      <c r="A8" s="26" t="s">
        <v>96</v>
      </c>
      <c r="B8" s="26">
        <v>900</v>
      </c>
    </row>
    <row r="9" spans="1:2" x14ac:dyDescent="0.4">
      <c r="A9" s="26" t="s">
        <v>97</v>
      </c>
      <c r="B9" s="26">
        <f>'OF4.5 - High Alt'!I24</f>
        <v>8.2000004838966483</v>
      </c>
    </row>
    <row r="10" spans="1:2" x14ac:dyDescent="0.4">
      <c r="A10" s="26" t="s">
        <v>98</v>
      </c>
      <c r="B10" s="26">
        <v>1.1299999999999999E-2</v>
      </c>
    </row>
    <row r="11" spans="1:2" x14ac:dyDescent="0.4">
      <c r="A11" s="26" t="s">
        <v>99</v>
      </c>
      <c r="B11" s="26">
        <v>6.667807839</v>
      </c>
    </row>
    <row r="12" spans="1:2" x14ac:dyDescent="0.4">
      <c r="A12" s="26" t="s">
        <v>100</v>
      </c>
      <c r="B12" s="26">
        <v>1.55E-4</v>
      </c>
    </row>
    <row r="13" spans="1:2" x14ac:dyDescent="0.4">
      <c r="A13" s="26" t="s">
        <v>101</v>
      </c>
      <c r="B13" s="27">
        <v>0.5</v>
      </c>
    </row>
    <row r="14" spans="1:2" x14ac:dyDescent="0.4">
      <c r="A14" s="26" t="s">
        <v>102</v>
      </c>
      <c r="B14" s="26">
        <f>'OF4.5 - High Alt'!L21</f>
        <v>1</v>
      </c>
    </row>
    <row r="15" spans="1:2" x14ac:dyDescent="0.4">
      <c r="A15" s="26" t="s">
        <v>103</v>
      </c>
      <c r="B15" s="26">
        <f>'OF4.5 - High Alt'!L24</f>
        <v>0.56419215732411654</v>
      </c>
    </row>
    <row r="16" spans="1:2" x14ac:dyDescent="0.4">
      <c r="A16" s="26" t="s">
        <v>104</v>
      </c>
      <c r="B16" s="26">
        <f>'OF4.5 - High Alt'!L26</f>
        <v>1.5582207856598803E-2</v>
      </c>
    </row>
    <row r="17" spans="1:4" x14ac:dyDescent="0.4">
      <c r="A17" s="26" t="s">
        <v>105</v>
      </c>
      <c r="B17" s="26">
        <f>'OF4.5 - High Alt'!L25/2</f>
        <v>4.4445236671862967E-2</v>
      </c>
    </row>
    <row r="18" spans="1:4" x14ac:dyDescent="0.4">
      <c r="A18" s="26" t="s">
        <v>106</v>
      </c>
      <c r="B18" s="26">
        <f>'OF4.5 - High Alt'!O8</f>
        <v>1.0653524748024891E-3</v>
      </c>
    </row>
    <row r="19" spans="1:4" x14ac:dyDescent="0.4">
      <c r="A19" s="26" t="s">
        <v>107</v>
      </c>
      <c r="B19" s="26">
        <f>'OF4.5 - High Alt'!O9</f>
        <v>5.4347544054950984E-3</v>
      </c>
    </row>
    <row r="20" spans="1:4" x14ac:dyDescent="0.4">
      <c r="A20" s="26" t="s">
        <v>108</v>
      </c>
      <c r="B20" s="26">
        <v>0.13969999999999999</v>
      </c>
    </row>
    <row r="21" spans="1:4" x14ac:dyDescent="0.4">
      <c r="A21" s="26" t="s">
        <v>110</v>
      </c>
      <c r="B21" s="26">
        <f>'OF4.5 - High Alt'!I28/(44.013*B22*SQRT(2/44.013*(4825000-2410000)/0.0543))</f>
        <v>4.1987692662327102E-5</v>
      </c>
      <c r="D21" s="28"/>
    </row>
    <row r="22" spans="1:4" x14ac:dyDescent="0.4">
      <c r="A22" s="26" t="s">
        <v>109</v>
      </c>
      <c r="B22" s="26">
        <v>0.6</v>
      </c>
    </row>
    <row r="23" spans="1:4" x14ac:dyDescent="0.4">
      <c r="A23" s="26" t="s">
        <v>113</v>
      </c>
      <c r="B23" s="26">
        <f>'OF4.5 - High Alt'!B5</f>
        <v>0.9</v>
      </c>
    </row>
    <row r="24" spans="1:4" x14ac:dyDescent="0.4">
      <c r="A24" s="26" t="s">
        <v>112</v>
      </c>
      <c r="B24" s="26">
        <f>'OF4.5 - High Alt'!B6</f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6"/>
  <sheetViews>
    <sheetView workbookViewId="0">
      <selection activeCell="B27" sqref="B27"/>
    </sheetView>
  </sheetViews>
  <sheetFormatPr defaultRowHeight="14.6" x14ac:dyDescent="0.4"/>
  <cols>
    <col min="1" max="1" width="16.07421875" bestFit="1" customWidth="1"/>
    <col min="2" max="3" width="12" bestFit="1" customWidth="1"/>
    <col min="9" max="9" width="18.53515625" customWidth="1"/>
    <col min="10" max="10" width="22" customWidth="1"/>
  </cols>
  <sheetData>
    <row r="1" spans="1:9" x14ac:dyDescent="0.4">
      <c r="A1" s="26" t="s">
        <v>89</v>
      </c>
      <c r="B1" s="27">
        <v>10000</v>
      </c>
      <c r="D1" s="26"/>
      <c r="E1" s="26"/>
    </row>
    <row r="2" spans="1:9" x14ac:dyDescent="0.4">
      <c r="A2" s="26" t="s">
        <v>90</v>
      </c>
      <c r="B2" s="27">
        <v>0.01</v>
      </c>
      <c r="D2" s="26"/>
      <c r="E2" s="26"/>
    </row>
    <row r="3" spans="1:9" x14ac:dyDescent="0.4">
      <c r="A3" s="26" t="s">
        <v>91</v>
      </c>
      <c r="B3" s="26">
        <v>5</v>
      </c>
      <c r="D3" s="26"/>
      <c r="E3" s="26"/>
    </row>
    <row r="4" spans="1:9" x14ac:dyDescent="0.4">
      <c r="A4" s="26" t="s">
        <v>92</v>
      </c>
      <c r="B4" s="26">
        <v>85580</v>
      </c>
      <c r="D4" s="26"/>
      <c r="E4" s="4"/>
      <c r="I4" s="4"/>
    </row>
    <row r="5" spans="1:9" x14ac:dyDescent="0.4">
      <c r="A5" s="26" t="s">
        <v>93</v>
      </c>
      <c r="B5" s="26">
        <v>290.3503</v>
      </c>
      <c r="D5" s="26"/>
      <c r="E5" s="26"/>
    </row>
    <row r="6" spans="1:9" x14ac:dyDescent="0.4">
      <c r="A6" s="26" t="s">
        <v>94</v>
      </c>
      <c r="B6" s="4">
        <f>'OF4.5 - Recordbreaker'!I20</f>
        <v>45</v>
      </c>
      <c r="D6" s="26"/>
      <c r="E6" s="4"/>
    </row>
    <row r="7" spans="1:9" x14ac:dyDescent="0.4">
      <c r="A7" s="26" t="s">
        <v>95</v>
      </c>
      <c r="B7" s="26">
        <f>'OF4.5 - Recordbreaker'!I23</f>
        <v>5.0828361332163601</v>
      </c>
      <c r="D7" s="26"/>
      <c r="E7" s="26"/>
    </row>
    <row r="8" spans="1:9" x14ac:dyDescent="0.4">
      <c r="A8" s="26" t="s">
        <v>96</v>
      </c>
      <c r="B8" s="26">
        <v>900</v>
      </c>
      <c r="D8" s="26"/>
      <c r="E8" s="26"/>
    </row>
    <row r="9" spans="1:9" x14ac:dyDescent="0.4">
      <c r="A9" s="26" t="s">
        <v>97</v>
      </c>
      <c r="B9" s="26">
        <f>'OF4.5 - Recordbreaker'!I24</f>
        <v>22.872762599473617</v>
      </c>
      <c r="D9" s="26"/>
      <c r="E9" s="26"/>
    </row>
    <row r="10" spans="1:9" x14ac:dyDescent="0.4">
      <c r="A10" s="26" t="s">
        <v>98</v>
      </c>
      <c r="B10" s="26">
        <f>'OF4.5 - Recordbreaker'!I24/800*1.1</f>
        <v>3.1450048574276225E-2</v>
      </c>
      <c r="D10" s="26"/>
      <c r="E10" s="26"/>
    </row>
    <row r="11" spans="1:9" x14ac:dyDescent="0.4">
      <c r="A11" s="26" t="s">
        <v>99</v>
      </c>
      <c r="B11" s="26">
        <f>'Import Data - Deliverance'!B11/'Import Data - Deliverance'!B10*'Import Data - Recordbreaker'!B10</f>
        <v>18.557777028361929</v>
      </c>
      <c r="D11" s="26"/>
      <c r="E11" s="26"/>
    </row>
    <row r="12" spans="1:9" x14ac:dyDescent="0.4">
      <c r="A12" s="26" t="s">
        <v>100</v>
      </c>
      <c r="B12" s="26">
        <v>1.55E-4</v>
      </c>
      <c r="D12" s="26"/>
      <c r="E12" s="26"/>
    </row>
    <row r="13" spans="1:9" x14ac:dyDescent="0.4">
      <c r="A13" s="26" t="s">
        <v>101</v>
      </c>
      <c r="B13" s="27">
        <v>0.5</v>
      </c>
      <c r="D13" s="26"/>
      <c r="E13" s="27"/>
    </row>
    <row r="14" spans="1:9" x14ac:dyDescent="0.4">
      <c r="A14" s="26" t="s">
        <v>102</v>
      </c>
      <c r="B14" s="26">
        <v>1</v>
      </c>
      <c r="D14" s="26"/>
      <c r="E14" s="26"/>
    </row>
    <row r="15" spans="1:9" x14ac:dyDescent="0.4">
      <c r="A15" s="26" t="s">
        <v>103</v>
      </c>
      <c r="B15" s="26">
        <f>'OF4.5 - Recordbreaker'!L24</f>
        <v>0.7507485436021486</v>
      </c>
      <c r="D15" s="26"/>
      <c r="E15" s="26"/>
    </row>
    <row r="16" spans="1:9" x14ac:dyDescent="0.4">
      <c r="A16" s="26" t="s">
        <v>104</v>
      </c>
      <c r="B16" s="26">
        <f>'OF4.5 - Recordbreaker'!L26</f>
        <v>2.4902967875397503E-2</v>
      </c>
      <c r="D16" s="26"/>
      <c r="E16" s="26"/>
    </row>
    <row r="17" spans="1:5" x14ac:dyDescent="0.4">
      <c r="A17" s="26" t="s">
        <v>105</v>
      </c>
      <c r="B17" s="26">
        <f>'OF4.5 - Recordbreaker'!L25/2</f>
        <v>6.052856853373114E-2</v>
      </c>
      <c r="D17" s="26"/>
      <c r="E17" s="26"/>
    </row>
    <row r="18" spans="1:5" x14ac:dyDescent="0.4">
      <c r="A18" s="26" t="s">
        <v>106</v>
      </c>
      <c r="B18" s="26">
        <f>'OF4.5 - Recordbreaker'!M15</f>
        <v>1.3989173885694205E-3</v>
      </c>
      <c r="D18" s="26"/>
      <c r="E18" s="26"/>
    </row>
    <row r="19" spans="1:5" x14ac:dyDescent="0.4">
      <c r="A19" s="26" t="s">
        <v>107</v>
      </c>
      <c r="B19" s="26">
        <f>'OF4.5 - Recordbreaker'!M16</f>
        <v>8.7305797110715632E-3</v>
      </c>
      <c r="D19" s="26"/>
      <c r="E19" s="26"/>
    </row>
    <row r="20" spans="1:5" x14ac:dyDescent="0.4">
      <c r="A20" t="s">
        <v>108</v>
      </c>
      <c r="B20" s="26">
        <v>0.13969999999999999</v>
      </c>
      <c r="D20" s="26"/>
      <c r="E20" s="26"/>
    </row>
    <row r="21" spans="1:5" x14ac:dyDescent="0.4">
      <c r="A21" t="s">
        <v>110</v>
      </c>
      <c r="B21" s="26">
        <f>'OF4.5 - Recordbreaker'!I28/(44.013*B22*SQRT(2/44.013*(4825000-'OF4.5 - Recordbreaker'!B3*1000)/0.0543))</f>
        <v>9.6060737880467365E-5</v>
      </c>
      <c r="D21" s="26"/>
      <c r="E21" s="26"/>
    </row>
    <row r="22" spans="1:5" x14ac:dyDescent="0.4">
      <c r="A22" t="s">
        <v>109</v>
      </c>
      <c r="B22">
        <v>0.6</v>
      </c>
      <c r="D22" s="26"/>
      <c r="E22" s="26"/>
    </row>
    <row r="23" spans="1:5" x14ac:dyDescent="0.4">
      <c r="A23" s="26" t="s">
        <v>113</v>
      </c>
      <c r="B23" s="26">
        <f>'OF4.5 - Recordbreaker'!B6</f>
        <v>0.9</v>
      </c>
      <c r="D23" s="26"/>
      <c r="E23" s="26"/>
    </row>
    <row r="24" spans="1:5" x14ac:dyDescent="0.4">
      <c r="A24" s="26" t="s">
        <v>112</v>
      </c>
      <c r="B24" s="26">
        <v>0.9</v>
      </c>
      <c r="D24" s="26"/>
      <c r="E24" s="26"/>
    </row>
    <row r="25" spans="1:5" x14ac:dyDescent="0.4">
      <c r="A25" t="s">
        <v>116</v>
      </c>
      <c r="B25">
        <f>'OF4.5 - Recordbreaker'!I1</f>
        <v>2.9209999999999998</v>
      </c>
    </row>
    <row r="26" spans="1:5" x14ac:dyDescent="0.4">
      <c r="A26" t="s">
        <v>117</v>
      </c>
      <c r="B2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2D424C091748857CFABFDD9D8714" ma:contentTypeVersion="4" ma:contentTypeDescription="Create a new document." ma:contentTypeScope="" ma:versionID="66119197748b1341da348e77f9366674">
  <xsd:schema xmlns:xsd="http://www.w3.org/2001/XMLSchema" xmlns:xs="http://www.w3.org/2001/XMLSchema" xmlns:p="http://schemas.microsoft.com/office/2006/metadata/properties" xmlns:ns2="2197759c-b7a7-485b-93aa-8f94fa60c6ed" targetNamespace="http://schemas.microsoft.com/office/2006/metadata/properties" ma:root="true" ma:fieldsID="563e58d793b35ecc4358d5dea72a0fb6" ns2:_="">
    <xsd:import namespace="2197759c-b7a7-485b-93aa-8f94fa60c6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7759c-b7a7-485b-93aa-8f94fa60c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3706E-8CE1-4806-8EAD-5232829F25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AE0D8-9670-42EA-95A9-ECC0450E4E24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97759c-b7a7-485b-93aa-8f94fa60c6ed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3B5669-B80A-46C6-A1EF-55ED54CE7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7759c-b7a7-485b-93aa-8f94fa60c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OF5.4</vt:lpstr>
      <vt:lpstr>OF6.5</vt:lpstr>
      <vt:lpstr>OF4</vt:lpstr>
      <vt:lpstr>OF4.5 - Low Alt</vt:lpstr>
      <vt:lpstr>OF4.5 - High Alt</vt:lpstr>
      <vt:lpstr>OF4 - Recordbreaker</vt:lpstr>
      <vt:lpstr>OF4.5 - Recordbreaker</vt:lpstr>
      <vt:lpstr>Import Data - Deliverance</vt:lpstr>
      <vt:lpstr>Import Data - Recordbreaker</vt:lpstr>
      <vt:lpstr>Export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Passarelli</dc:creator>
  <cp:keywords/>
  <dc:description/>
  <cp:lastModifiedBy>Mitchell Passarelli</cp:lastModifiedBy>
  <cp:revision/>
  <dcterms:created xsi:type="dcterms:W3CDTF">2015-09-15T15:52:56Z</dcterms:created>
  <dcterms:modified xsi:type="dcterms:W3CDTF">2017-11-17T22:53:16Z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0x0101000C092D424C091748857CFABFDD9D8714</vt:lpwstr>
  </property>
  <property fmtid="{D5CDD505-2E9C-101B-9397-08002B2CF9AE}" pid="3" name="Order">
    <vt:r8>20200</vt:r8>
  </property>
  <property fmtid="{D5CDD505-2E9C-101B-9397-08002B2CF9AE}" pid="4" name="_CopySource">
    <vt:lpwstr>https://adminmailutoronto-my.sharepoint.com/personal/mitchell_passarelli_mail_utoronto_ca/Documents/UTAT/2015-16/Engine Preliminary Design Calculations.xlsx</vt:lpwstr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WorkbookGuid">
    <vt:lpwstr>16f617ff-2b64-4641-af7c-cac14eb4cc98</vt:lpwstr>
  </property>
</Properties>
</file>