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russt\Desktop\GIT\composite-propellant-tank\Analysis\Calculations\"/>
    </mc:Choice>
  </mc:AlternateContent>
  <bookViews>
    <workbookView xWindow="0" yWindow="0" windowWidth="18264" windowHeight="9036" activeTab="1"/>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 i="1" l="1"/>
  <c r="I18" i="2"/>
  <c r="C21" i="2"/>
  <c r="C18" i="2"/>
  <c r="D24" i="2"/>
  <c r="J13" i="2"/>
  <c r="J12" i="2"/>
  <c r="J11" i="2"/>
  <c r="D12" i="2"/>
  <c r="J9" i="2"/>
  <c r="J10" i="2" s="1"/>
  <c r="G10" i="2"/>
  <c r="G9" i="2" s="1"/>
  <c r="D6" i="2"/>
  <c r="E6" i="2" s="1"/>
  <c r="D3" i="2"/>
  <c r="E3" i="2"/>
  <c r="P9" i="1"/>
  <c r="K9" i="1"/>
  <c r="E9" i="1"/>
  <c r="D18" i="2" l="1"/>
  <c r="E5" i="1"/>
  <c r="F18" i="2" l="1"/>
  <c r="J18" i="2"/>
  <c r="L18" i="2" s="1"/>
  <c r="I18" i="1"/>
  <c r="I19" i="1"/>
  <c r="I20" i="1"/>
  <c r="I21" i="1"/>
  <c r="I22" i="1"/>
  <c r="I23" i="1"/>
  <c r="I24" i="1"/>
  <c r="I25" i="1"/>
  <c r="I26" i="1"/>
  <c r="I17" i="1"/>
  <c r="E13" i="1"/>
  <c r="G18" i="1" s="1"/>
  <c r="G9" i="1"/>
  <c r="F17" i="1"/>
  <c r="E17" i="1"/>
  <c r="E14" i="1"/>
  <c r="E6" i="1"/>
  <c r="G17" i="1" l="1"/>
  <c r="G24" i="1"/>
  <c r="G20" i="1"/>
  <c r="G21" i="1"/>
  <c r="H17" i="1"/>
  <c r="G23" i="1"/>
  <c r="G19" i="1"/>
  <c r="G25" i="1"/>
  <c r="G26" i="1"/>
  <c r="G22" i="1"/>
  <c r="M9" i="1"/>
  <c r="N9" i="1" s="1"/>
  <c r="H9" i="1" l="1"/>
  <c r="I9" i="1" s="1"/>
  <c r="J9" i="1" s="1"/>
</calcChain>
</file>

<file path=xl/sharedStrings.xml><?xml version="1.0" encoding="utf-8"?>
<sst xmlns="http://schemas.openxmlformats.org/spreadsheetml/2006/main" count="62" uniqueCount="46">
  <si>
    <t>Di,final</t>
  </si>
  <si>
    <t>Do,initial</t>
  </si>
  <si>
    <t>Di,initial</t>
  </si>
  <si>
    <t>Do,final</t>
  </si>
  <si>
    <t>t,initial</t>
  </si>
  <si>
    <t>t,final</t>
  </si>
  <si>
    <t>dt</t>
  </si>
  <si>
    <t>delta T</t>
  </si>
  <si>
    <t>CTE</t>
  </si>
  <si>
    <t>Radial Cooling</t>
  </si>
  <si>
    <t>Radial Heating</t>
  </si>
  <si>
    <t>t, initial</t>
  </si>
  <si>
    <t>DELTA Do</t>
  </si>
  <si>
    <t>Delta Max</t>
  </si>
  <si>
    <t>E</t>
  </si>
  <si>
    <t>Properties</t>
  </si>
  <si>
    <t>Poisson's Ratio</t>
  </si>
  <si>
    <t>Aluminum</t>
  </si>
  <si>
    <t>PTFE</t>
  </si>
  <si>
    <r>
      <t>CTE (in/in/</t>
    </r>
    <r>
      <rPr>
        <sz val="11"/>
        <color theme="1"/>
        <rFont val="Calibri"/>
        <family val="2"/>
      </rPr>
      <t>°F)</t>
    </r>
  </si>
  <si>
    <t>Elastic Modulus (psi)</t>
  </si>
  <si>
    <t>Temperature Change</t>
  </si>
  <si>
    <t>Inner Radius</t>
  </si>
  <si>
    <t>Ring Dimensions</t>
  </si>
  <si>
    <t>Outer Radius</t>
  </si>
  <si>
    <t>Cap Dimensions</t>
  </si>
  <si>
    <t>(inches)</t>
  </si>
  <si>
    <t>Liner Dimensions</t>
  </si>
  <si>
    <t>Aluminum Interface Pressure (psi)</t>
  </si>
  <si>
    <t>Liner Pressure at Cryo Temp (psi)</t>
  </si>
  <si>
    <t>Interface Depth</t>
  </si>
  <si>
    <t>Interface Area (in^2)</t>
  </si>
  <si>
    <t>Total Force (lb)</t>
  </si>
  <si>
    <t>Thickness</t>
  </si>
  <si>
    <t>Cryo Thickness</t>
  </si>
  <si>
    <t>Change in Thickness</t>
  </si>
  <si>
    <t>Fluid Pressure on Cap (psi)</t>
  </si>
  <si>
    <t>Normal Force (lb)</t>
  </si>
  <si>
    <t>Friction Force (lb)</t>
  </si>
  <si>
    <t>Friction Coefficient</t>
  </si>
  <si>
    <t>Theoretical</t>
  </si>
  <si>
    <t>Delta Achievable</t>
  </si>
  <si>
    <t>Shear area (in^2)</t>
  </si>
  <si>
    <t>Shear stress (psi)</t>
  </si>
  <si>
    <t>Shear strength</t>
  </si>
  <si>
    <t>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</si>
</sst>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Fill="1"/>
    <xf numFmtId="164" fontId="0" fillId="0" borderId="0" xfId="0" applyNumberFormat="1"/>
    <xf numFmtId="0" fontId="0" fillId="0" borderId="0" xfId="0" applyFont="1"/>
    <xf numFmtId="164" fontId="0" fillId="0" borderId="0" xfId="0" applyNumberFormat="1" applyFill="1"/>
    <xf numFmtId="0" fontId="0" fillId="2"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9</xdr:col>
      <xdr:colOff>7620</xdr:colOff>
      <xdr:row>30</xdr:row>
      <xdr:rowOff>7620</xdr:rowOff>
    </xdr:to>
    <xdr:sp macro="" textlink="">
      <xdr:nvSpPr>
        <xdr:cNvPr id="2" name="TextBox 1">
          <a:extLst>
            <a:ext uri="{FF2B5EF4-FFF2-40B4-BE49-F238E27FC236}">
              <a16:creationId xmlns:a16="http://schemas.microsoft.com/office/drawing/2014/main" id="{D83CA324-5E08-4053-AE5A-583A4EA1FBAE}"/>
            </a:ext>
          </a:extLst>
        </xdr:cNvPr>
        <xdr:cNvSpPr txBox="1"/>
      </xdr:nvSpPr>
      <xdr:spPr>
        <a:xfrm>
          <a:off x="1219200" y="4754880"/>
          <a:ext cx="760476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best possible seal is achieved by loading the PTFE liner to the max it can handle. According to DuPont, PTFE has a yield stress of 19000 psi at cryo temp. We cannot accomplish this kind of pressure from our shrink fit at this tank size, but we know there will be stress concentrations</a:t>
          </a:r>
          <a:r>
            <a:rPr lang="en-US" sz="1100" baseline="0"/>
            <a:t> at the ends of the aluminum cylinders that bind the liner, so we do not want to load the liner to 19000 psi anyway. </a:t>
          </a:r>
          <a:endParaRPr lang="en-US" sz="1100"/>
        </a:p>
      </xdr:txBody>
    </xdr:sp>
    <xdr:clientData/>
  </xdr:twoCellAnchor>
  <xdr:twoCellAnchor>
    <xdr:from>
      <xdr:col>12</xdr:col>
      <xdr:colOff>601980</xdr:colOff>
      <xdr:row>15</xdr:row>
      <xdr:rowOff>175260</xdr:rowOff>
    </xdr:from>
    <xdr:to>
      <xdr:col>15</xdr:col>
      <xdr:colOff>601980</xdr:colOff>
      <xdr:row>19</xdr:row>
      <xdr:rowOff>7620</xdr:rowOff>
    </xdr:to>
    <xdr:sp macro="" textlink="">
      <xdr:nvSpPr>
        <xdr:cNvPr id="3" name="TextBox 2">
          <a:extLst>
            <a:ext uri="{FF2B5EF4-FFF2-40B4-BE49-F238E27FC236}">
              <a16:creationId xmlns:a16="http://schemas.microsoft.com/office/drawing/2014/main" id="{4833FDCA-E731-4239-8F5B-F2C790E26708}"/>
            </a:ext>
          </a:extLst>
        </xdr:cNvPr>
        <xdr:cNvSpPr txBox="1"/>
      </xdr:nvSpPr>
      <xdr:spPr>
        <a:xfrm>
          <a:off x="11902440" y="2918460"/>
          <a:ext cx="182880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*Stress concentrations not accounted for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R34"/>
  <sheetViews>
    <sheetView workbookViewId="0">
      <selection activeCell="R10" sqref="R10"/>
    </sheetView>
  </sheetViews>
  <sheetFormatPr defaultRowHeight="14.4" x14ac:dyDescent="0.3"/>
  <cols>
    <col min="4" max="4" width="9.21875" customWidth="1"/>
    <col min="5" max="5" width="10.21875" customWidth="1"/>
    <col min="8" max="8" width="11.33203125" bestFit="1" customWidth="1"/>
  </cols>
  <sheetData>
    <row r="4" spans="4:18" x14ac:dyDescent="0.3">
      <c r="D4" t="s">
        <v>9</v>
      </c>
    </row>
    <row r="5" spans="4:18" x14ac:dyDescent="0.3">
      <c r="D5" t="s">
        <v>7</v>
      </c>
      <c r="E5">
        <f>-321-65</f>
        <v>-386</v>
      </c>
      <c r="G5" t="s">
        <v>14</v>
      </c>
      <c r="H5">
        <v>10000000</v>
      </c>
    </row>
    <row r="6" spans="4:18" x14ac:dyDescent="0.3">
      <c r="D6" t="s">
        <v>8</v>
      </c>
      <c r="E6">
        <f>13.1*10^-6</f>
        <v>1.3099999999999998E-5</v>
      </c>
    </row>
    <row r="7" spans="4:18" x14ac:dyDescent="0.3">
      <c r="P7" t="s">
        <v>40</v>
      </c>
    </row>
    <row r="8" spans="4:18" x14ac:dyDescent="0.3">
      <c r="D8" s="3" t="s">
        <v>2</v>
      </c>
      <c r="E8" t="s">
        <v>1</v>
      </c>
      <c r="F8" t="s">
        <v>4</v>
      </c>
      <c r="G8" t="s">
        <v>0</v>
      </c>
      <c r="H8" s="1" t="s">
        <v>3</v>
      </c>
      <c r="I8" t="s">
        <v>5</v>
      </c>
      <c r="J8" t="s">
        <v>6</v>
      </c>
      <c r="K8" t="s">
        <v>12</v>
      </c>
      <c r="L8" t="s">
        <v>4</v>
      </c>
      <c r="M8" t="s">
        <v>5</v>
      </c>
      <c r="N8" t="s">
        <v>6</v>
      </c>
      <c r="P8" t="s">
        <v>13</v>
      </c>
      <c r="R8" t="s">
        <v>41</v>
      </c>
    </row>
    <row r="9" spans="4:18" x14ac:dyDescent="0.3">
      <c r="D9">
        <v>2.875</v>
      </c>
      <c r="E9" s="5">
        <f>D9+F9</f>
        <v>3</v>
      </c>
      <c r="F9">
        <v>0.125</v>
      </c>
      <c r="G9" s="2">
        <f>D9+$E$6*$E$5*D9</f>
        <v>2.8604622750000002</v>
      </c>
      <c r="H9" s="6">
        <f>E9+E6*(E5)*E9</f>
        <v>2.9848302000000002</v>
      </c>
      <c r="I9" s="2">
        <f>H9-G9</f>
        <v>0.12436792500000005</v>
      </c>
      <c r="J9" s="2">
        <f>F9-I9</f>
        <v>6.320749999999542E-4</v>
      </c>
      <c r="K9" s="2">
        <f>E9-H9</f>
        <v>1.5169799999999789E-2</v>
      </c>
      <c r="L9">
        <v>0.125</v>
      </c>
      <c r="M9" s="2">
        <f>L9+13.1*10^-6*(-386)*L9</f>
        <v>0.124367925</v>
      </c>
      <c r="N9" s="2">
        <f>L9-M9</f>
        <v>6.3207499999999583E-4</v>
      </c>
      <c r="P9">
        <f>K9/2</f>
        <v>7.5848999999998945E-3</v>
      </c>
      <c r="R9">
        <f>P9-0.0025/2</f>
        <v>6.3348999999998943E-3</v>
      </c>
    </row>
    <row r="10" spans="4:18" x14ac:dyDescent="0.3">
      <c r="G10" s="2"/>
      <c r="H10" s="2"/>
      <c r="I10" s="2"/>
      <c r="J10" s="2"/>
      <c r="M10" s="2"/>
      <c r="N10" s="2"/>
    </row>
    <row r="11" spans="4:18" x14ac:dyDescent="0.3">
      <c r="G11" s="2"/>
      <c r="H11" s="2"/>
      <c r="I11" s="2"/>
      <c r="J11" s="2"/>
      <c r="M11" s="2"/>
      <c r="N11" s="2"/>
    </row>
    <row r="12" spans="4:18" x14ac:dyDescent="0.3">
      <c r="D12" t="s">
        <v>10</v>
      </c>
      <c r="G12" s="2"/>
      <c r="H12" s="2"/>
      <c r="I12" s="2"/>
      <c r="J12" s="2"/>
      <c r="M12" s="2"/>
      <c r="N12" s="2"/>
    </row>
    <row r="13" spans="4:18" x14ac:dyDescent="0.3">
      <c r="D13" t="s">
        <v>7</v>
      </c>
      <c r="E13">
        <f>250-65</f>
        <v>185</v>
      </c>
      <c r="G13" s="2"/>
      <c r="H13" s="2"/>
      <c r="I13" s="2"/>
      <c r="J13" s="2"/>
      <c r="M13" s="2"/>
      <c r="N13" s="2"/>
    </row>
    <row r="14" spans="4:18" x14ac:dyDescent="0.3">
      <c r="D14" t="s">
        <v>8</v>
      </c>
      <c r="E14">
        <f>13.1*10^-6</f>
        <v>1.3099999999999998E-5</v>
      </c>
      <c r="G14" s="2"/>
      <c r="H14" s="2"/>
      <c r="I14" s="2"/>
      <c r="J14" s="2"/>
      <c r="M14" s="2"/>
      <c r="N14" s="2"/>
    </row>
    <row r="15" spans="4:18" x14ac:dyDescent="0.3">
      <c r="G15" s="2"/>
      <c r="H15" s="2"/>
      <c r="I15" s="2"/>
      <c r="J15" s="2"/>
      <c r="M15" s="2"/>
      <c r="N15" s="2"/>
    </row>
    <row r="16" spans="4:18" x14ac:dyDescent="0.3">
      <c r="D16" t="s">
        <v>2</v>
      </c>
      <c r="E16" t="s">
        <v>1</v>
      </c>
      <c r="F16" t="s">
        <v>11</v>
      </c>
      <c r="G16" s="2" t="s">
        <v>0</v>
      </c>
      <c r="H16" s="2" t="s">
        <v>3</v>
      </c>
      <c r="I16" s="2" t="s">
        <v>6</v>
      </c>
      <c r="J16" s="2"/>
      <c r="M16" s="2"/>
      <c r="N16" s="2"/>
    </row>
    <row r="17" spans="4:14" x14ac:dyDescent="0.3">
      <c r="D17" s="1">
        <v>2.9</v>
      </c>
      <c r="E17">
        <f>D17+0.5</f>
        <v>3.4</v>
      </c>
      <c r="F17">
        <f>E17-D17</f>
        <v>0.5</v>
      </c>
      <c r="G17" s="4">
        <f>D17+$E$14*$E$13*D17</f>
        <v>2.9070281499999999</v>
      </c>
      <c r="H17" s="2">
        <f>E17+$E$14*$E$13*E17</f>
        <v>3.4082398999999999</v>
      </c>
      <c r="I17" s="2">
        <f>G17-D17</f>
        <v>7.0281500000000108E-3</v>
      </c>
      <c r="J17" s="2"/>
      <c r="M17" s="2"/>
      <c r="N17" s="2"/>
    </row>
    <row r="18" spans="4:14" x14ac:dyDescent="0.3">
      <c r="D18">
        <v>2.91</v>
      </c>
      <c r="G18" s="4">
        <f t="shared" ref="G18:G26" si="0">D18+$E$14*$E$13*D18</f>
        <v>2.9170523850000003</v>
      </c>
      <c r="H18" s="2"/>
      <c r="I18" s="2">
        <f t="shared" ref="I18:I26" si="1">G18-D18</f>
        <v>7.0523850000001609E-3</v>
      </c>
      <c r="J18" s="2"/>
      <c r="M18" s="2"/>
      <c r="N18" s="2"/>
    </row>
    <row r="19" spans="4:14" x14ac:dyDescent="0.3">
      <c r="D19">
        <v>2.92</v>
      </c>
      <c r="G19" s="4">
        <f t="shared" si="0"/>
        <v>2.9270766199999998</v>
      </c>
      <c r="H19" s="2"/>
      <c r="I19" s="2">
        <f t="shared" si="1"/>
        <v>7.0766199999998669E-3</v>
      </c>
      <c r="J19" s="2"/>
      <c r="M19" s="2"/>
      <c r="N19" s="2"/>
    </row>
    <row r="20" spans="4:14" x14ac:dyDescent="0.3">
      <c r="D20" s="1">
        <v>2.93</v>
      </c>
      <c r="G20" s="4">
        <f t="shared" si="0"/>
        <v>2.9371008550000002</v>
      </c>
      <c r="H20" s="2"/>
      <c r="I20" s="2">
        <f t="shared" si="1"/>
        <v>7.100855000000017E-3</v>
      </c>
      <c r="J20" s="2"/>
      <c r="M20" s="2"/>
      <c r="N20" s="2"/>
    </row>
    <row r="21" spans="4:14" x14ac:dyDescent="0.3">
      <c r="D21">
        <v>2.94</v>
      </c>
      <c r="G21" s="4">
        <f t="shared" si="0"/>
        <v>2.9471250900000001</v>
      </c>
      <c r="H21" s="2"/>
      <c r="I21" s="2">
        <f t="shared" si="1"/>
        <v>7.1250900000001671E-3</v>
      </c>
      <c r="J21" s="2"/>
      <c r="M21" s="2"/>
      <c r="N21" s="2"/>
    </row>
    <row r="22" spans="4:14" x14ac:dyDescent="0.3">
      <c r="D22">
        <v>2.95</v>
      </c>
      <c r="G22" s="4">
        <f t="shared" si="0"/>
        <v>2.9571493250000001</v>
      </c>
      <c r="H22" s="2"/>
      <c r="I22" s="2">
        <f t="shared" si="1"/>
        <v>7.1493249999998731E-3</v>
      </c>
      <c r="J22" s="2"/>
      <c r="M22" s="2"/>
      <c r="N22" s="2"/>
    </row>
    <row r="23" spans="4:14" x14ac:dyDescent="0.3">
      <c r="D23" s="1">
        <v>2.96</v>
      </c>
      <c r="G23" s="4">
        <f t="shared" si="0"/>
        <v>2.96717356</v>
      </c>
      <c r="H23" s="2"/>
      <c r="I23" s="2">
        <f t="shared" si="1"/>
        <v>7.1735600000000233E-3</v>
      </c>
      <c r="J23" s="2"/>
      <c r="M23" s="2"/>
      <c r="N23" s="2"/>
    </row>
    <row r="24" spans="4:14" x14ac:dyDescent="0.3">
      <c r="D24">
        <v>2.97</v>
      </c>
      <c r="G24" s="4">
        <f t="shared" si="0"/>
        <v>2.9771977950000004</v>
      </c>
      <c r="H24" s="2"/>
      <c r="I24" s="2">
        <f t="shared" si="1"/>
        <v>7.1977950000001734E-3</v>
      </c>
      <c r="J24" s="2"/>
      <c r="M24" s="2"/>
      <c r="N24" s="2"/>
    </row>
    <row r="25" spans="4:14" x14ac:dyDescent="0.3">
      <c r="D25" s="5">
        <v>2.98</v>
      </c>
      <c r="G25" s="6">
        <f t="shared" si="0"/>
        <v>2.9872220299999999</v>
      </c>
      <c r="H25" s="2"/>
      <c r="I25" s="2">
        <f t="shared" si="1"/>
        <v>7.2220299999998794E-3</v>
      </c>
      <c r="J25" s="2"/>
      <c r="M25" s="2"/>
      <c r="N25" s="2"/>
    </row>
    <row r="26" spans="4:14" x14ac:dyDescent="0.3">
      <c r="D26" s="1">
        <v>2.99</v>
      </c>
      <c r="G26" s="4">
        <f t="shared" si="0"/>
        <v>2.9972462650000002</v>
      </c>
      <c r="H26" s="2"/>
      <c r="I26" s="2">
        <f t="shared" si="1"/>
        <v>7.2462650000000295E-3</v>
      </c>
      <c r="J26" s="2"/>
      <c r="M26" s="2"/>
      <c r="N26" s="2"/>
    </row>
    <row r="27" spans="4:14" x14ac:dyDescent="0.3">
      <c r="G27" s="2"/>
      <c r="H27" s="2"/>
      <c r="I27" s="2"/>
      <c r="J27" s="2"/>
      <c r="M27" s="2"/>
      <c r="N27" s="2"/>
    </row>
    <row r="28" spans="4:14" x14ac:dyDescent="0.3">
      <c r="G28" s="2"/>
      <c r="H28" s="2"/>
      <c r="I28" s="2"/>
      <c r="J28" s="2"/>
      <c r="M28" s="2"/>
      <c r="N28" s="2"/>
    </row>
    <row r="29" spans="4:14" x14ac:dyDescent="0.3">
      <c r="G29" s="2"/>
      <c r="H29" s="2"/>
      <c r="I29" s="2"/>
      <c r="J29" s="2"/>
      <c r="M29" s="2"/>
      <c r="N29" s="2"/>
    </row>
    <row r="30" spans="4:14" x14ac:dyDescent="0.3">
      <c r="F30" s="2"/>
      <c r="G30" s="2"/>
      <c r="H30" s="2"/>
      <c r="I30" s="2"/>
      <c r="J30" s="2"/>
      <c r="M30" s="2"/>
      <c r="N30" s="2"/>
    </row>
    <row r="31" spans="4:14" x14ac:dyDescent="0.3">
      <c r="G31" s="2"/>
      <c r="H31" s="2"/>
      <c r="I31" s="2"/>
      <c r="J31" s="2"/>
      <c r="M31" s="2"/>
      <c r="N31" s="2"/>
    </row>
    <row r="32" spans="4:14" x14ac:dyDescent="0.3">
      <c r="G32" s="2"/>
      <c r="H32" s="2"/>
      <c r="I32" s="2"/>
      <c r="J32" s="2"/>
      <c r="M32" s="2"/>
      <c r="N32" s="2"/>
    </row>
    <row r="33" spans="7:14" x14ac:dyDescent="0.3">
      <c r="G33" s="2"/>
      <c r="H33" s="2"/>
      <c r="I33" s="2"/>
      <c r="J33" s="2"/>
      <c r="M33" s="2"/>
      <c r="N33" s="2"/>
    </row>
    <row r="34" spans="7:14" x14ac:dyDescent="0.3">
      <c r="G34" s="2"/>
      <c r="H34" s="2"/>
      <c r="I34" s="2"/>
      <c r="J34" s="2"/>
      <c r="M34" s="2"/>
      <c r="N34"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4"/>
  <sheetViews>
    <sheetView tabSelected="1" workbookViewId="0">
      <selection activeCell="L21" sqref="L21"/>
    </sheetView>
  </sheetViews>
  <sheetFormatPr defaultRowHeight="14.4" x14ac:dyDescent="0.3"/>
  <cols>
    <col min="3" max="3" width="28.44140625" customWidth="1"/>
    <col min="4" max="4" width="15.21875" customWidth="1"/>
    <col min="5" max="5" width="16.44140625" customWidth="1"/>
    <col min="6" max="6" width="15.33203125" customWidth="1"/>
    <col min="9" max="9" width="17.5546875" customWidth="1"/>
    <col min="10" max="10" width="14.5546875" customWidth="1"/>
    <col min="11" max="11" width="12.77734375" customWidth="1"/>
  </cols>
  <sheetData>
    <row r="2" spans="3:10" x14ac:dyDescent="0.3">
      <c r="C2" t="s">
        <v>15</v>
      </c>
      <c r="D2" t="s">
        <v>17</v>
      </c>
      <c r="E2" t="s">
        <v>18</v>
      </c>
    </row>
    <row r="3" spans="3:10" x14ac:dyDescent="0.3">
      <c r="C3" t="s">
        <v>19</v>
      </c>
      <c r="D3">
        <f>0.0000131</f>
        <v>1.31E-5</v>
      </c>
      <c r="E3">
        <f>0.000086*(5/9)</f>
        <v>4.7777777777777784E-5</v>
      </c>
    </row>
    <row r="4" spans="3:10" x14ac:dyDescent="0.3">
      <c r="C4" t="s">
        <v>20</v>
      </c>
      <c r="D4">
        <v>10000000</v>
      </c>
      <c r="E4">
        <v>500000</v>
      </c>
    </row>
    <row r="5" spans="3:10" x14ac:dyDescent="0.3">
      <c r="C5" t="s">
        <v>16</v>
      </c>
      <c r="D5">
        <v>0.33</v>
      </c>
      <c r="E5">
        <v>0.46</v>
      </c>
    </row>
    <row r="6" spans="3:10" x14ac:dyDescent="0.3">
      <c r="C6" t="s">
        <v>21</v>
      </c>
      <c r="D6">
        <f>(9/5)*(293-77)</f>
        <v>388.8</v>
      </c>
      <c r="E6">
        <f>D6</f>
        <v>388.8</v>
      </c>
    </row>
    <row r="8" spans="3:10" x14ac:dyDescent="0.3">
      <c r="C8" t="s">
        <v>23</v>
      </c>
      <c r="D8" t="s">
        <v>26</v>
      </c>
      <c r="F8" t="s">
        <v>25</v>
      </c>
      <c r="G8" t="s">
        <v>26</v>
      </c>
      <c r="I8" t="s">
        <v>27</v>
      </c>
      <c r="J8" t="s">
        <v>26</v>
      </c>
    </row>
    <row r="9" spans="3:10" x14ac:dyDescent="0.3">
      <c r="C9" t="s">
        <v>22</v>
      </c>
      <c r="D9">
        <v>1.5</v>
      </c>
      <c r="F9" t="s">
        <v>22</v>
      </c>
      <c r="G9">
        <f>G10-0.125</f>
        <v>1.375</v>
      </c>
      <c r="I9" t="s">
        <v>22</v>
      </c>
      <c r="J9">
        <f>D9</f>
        <v>1.5</v>
      </c>
    </row>
    <row r="10" spans="3:10" x14ac:dyDescent="0.3">
      <c r="C10" t="s">
        <v>24</v>
      </c>
      <c r="D10">
        <v>2</v>
      </c>
      <c r="F10" t="s">
        <v>24</v>
      </c>
      <c r="G10">
        <f>D9</f>
        <v>1.5</v>
      </c>
      <c r="I10" t="s">
        <v>24</v>
      </c>
      <c r="J10">
        <f>J9+0.125</f>
        <v>1.625</v>
      </c>
    </row>
    <row r="11" spans="3:10" x14ac:dyDescent="0.3">
      <c r="C11" t="s">
        <v>30</v>
      </c>
      <c r="D11">
        <v>0.125</v>
      </c>
      <c r="I11" t="s">
        <v>33</v>
      </c>
      <c r="J11">
        <f>0.125</f>
        <v>0.125</v>
      </c>
    </row>
    <row r="12" spans="3:10" x14ac:dyDescent="0.3">
      <c r="C12" t="s">
        <v>31</v>
      </c>
      <c r="D12">
        <f>2*3.141592*D9*D11</f>
        <v>1.1780970000000002</v>
      </c>
      <c r="I12" t="s">
        <v>34</v>
      </c>
      <c r="J12">
        <f>J11-J11*E3*E6</f>
        <v>0.122678</v>
      </c>
    </row>
    <row r="13" spans="3:10" x14ac:dyDescent="0.3">
      <c r="I13" t="s">
        <v>35</v>
      </c>
      <c r="J13">
        <f>J11-J12</f>
        <v>2.3220000000000046E-3</v>
      </c>
    </row>
    <row r="17" spans="3:12" x14ac:dyDescent="0.3">
      <c r="C17" t="s">
        <v>28</v>
      </c>
      <c r="D17" t="s">
        <v>37</v>
      </c>
      <c r="E17" t="s">
        <v>39</v>
      </c>
      <c r="F17" t="s">
        <v>38</v>
      </c>
      <c r="I17" t="s">
        <v>42</v>
      </c>
      <c r="J17" t="s">
        <v>43</v>
      </c>
      <c r="K17" t="s">
        <v>44</v>
      </c>
      <c r="L17" t="s">
        <v>45</v>
      </c>
    </row>
    <row r="18" spans="3:12" x14ac:dyDescent="0.3">
      <c r="C18">
        <f>(D4*Sheet1!R9)/(2*D9^3)*((D10^2-D9^2)*(D9^2-G9^2)/(D10^2-G9^2))</f>
        <v>2798.1314128943291</v>
      </c>
      <c r="D18">
        <f>C18*D12</f>
        <v>3296.4702231365709</v>
      </c>
      <c r="E18">
        <v>1.2</v>
      </c>
      <c r="F18">
        <f>E18*D18</f>
        <v>3955.7642677638851</v>
      </c>
      <c r="I18">
        <f>3.141592*(G10^2-G9^2)</f>
        <v>1.1290096250000001</v>
      </c>
      <c r="J18">
        <f>D18/I18</f>
        <v>2919.789300411474</v>
      </c>
      <c r="K18">
        <v>30000</v>
      </c>
      <c r="L18">
        <f>K18/J18</f>
        <v>10.274713999319136</v>
      </c>
    </row>
    <row r="20" spans="3:12" x14ac:dyDescent="0.3">
      <c r="C20" t="s">
        <v>29</v>
      </c>
    </row>
    <row r="21" spans="3:12" x14ac:dyDescent="0.3">
      <c r="C21">
        <f>(((Sheet1!R9-J13)/2)/(J12))*E4</f>
        <v>8177.7091247002099</v>
      </c>
    </row>
    <row r="23" spans="3:12" x14ac:dyDescent="0.3">
      <c r="C23" t="s">
        <v>36</v>
      </c>
      <c r="D23" t="s">
        <v>32</v>
      </c>
    </row>
    <row r="24" spans="3:12" x14ac:dyDescent="0.3">
      <c r="C24">
        <v>45</v>
      </c>
      <c r="D24">
        <f>C24*3.141592*D9^2</f>
        <v>318.08619000000004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Farias</dc:creator>
  <cp:lastModifiedBy>Russell Berger</cp:lastModifiedBy>
  <dcterms:created xsi:type="dcterms:W3CDTF">2017-04-24T21:24:51Z</dcterms:created>
  <dcterms:modified xsi:type="dcterms:W3CDTF">2017-04-28T02:23:33Z</dcterms:modified>
</cp:coreProperties>
</file>