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943" windowHeight="9155" tabRatio="920"/>
  </bookViews>
  <sheets>
    <sheet name="VesselCharacteristics" sheetId="1" r:id="rId1"/>
    <sheet name="Igniter Design" sheetId="2" r:id="rId2"/>
  </sheets>
  <definedNames>
    <definedName name="hgNominal">VesselCharacteristics!$B$68</definedName>
    <definedName name="_xlnm.Print_Area" localSheetId="1">'Igniter Design'!$A$1:$I$44</definedName>
    <definedName name="Rd_t">VesselCharacteristics!$D$66</definedName>
    <definedName name="sigma_t">VesselCharacteristics!$D$67</definedName>
  </definedNames>
  <calcPr calcId="144525" iterate="1" iterateCount="1000" iterateDelta="0.001"/>
</workbook>
</file>

<file path=xl/comments1.xml><?xml version="1.0" encoding="utf-8"?>
<comments xmlns="http://schemas.openxmlformats.org/spreadsheetml/2006/main">
  <authors>
    <author>Graham.Sortino</author>
    <author>Graham</author>
    <author>asd2323r</author>
  </authors>
  <commentList>
    <comment ref="B8" authorId="0">
      <text>
        <r>
          <rPr>
            <b/>
            <sz val="8"/>
            <rFont val="Tahoma"/>
            <charset val="134"/>
          </rPr>
          <t>Graham.Sortino:</t>
        </r>
        <r>
          <rPr>
            <sz val="8"/>
            <rFont val="Tahoma"/>
            <charset val="134"/>
          </rPr>
          <t xml:space="preserve">
</t>
        </r>
        <r>
          <rPr>
            <sz val="8"/>
            <rFont val="Tahoma"/>
            <charset val="134"/>
          </rPr>
          <t xml:space="preserve">see page 184 (table 5-5) for a list of specific heats for various propellants.
</t>
        </r>
        <r>
          <rPr>
            <sz val="8"/>
            <rFont val="Tahoma"/>
            <charset val="134"/>
          </rPr>
          <t xml:space="preserve">N.B.  1.24 is typically used for O2/RP-1
</t>
        </r>
        <r>
          <rPr>
            <sz val="8"/>
            <rFont val="Tahoma"/>
            <charset val="134"/>
          </rPr>
          <t xml:space="preserve">
</t>
        </r>
        <r>
          <rPr>
            <sz val="8"/>
            <rFont val="Tahoma"/>
            <charset val="134"/>
          </rPr>
          <t xml:space="preserve">Specific Heat Ratio k = Specific Heat at Constat Pressure / Specific Heat at Constant Volume
</t>
        </r>
        <r>
          <rPr>
            <sz val="8"/>
            <rFont val="Tahoma"/>
            <charset val="134"/>
          </rPr>
          <t xml:space="preserve">
</t>
        </r>
        <r>
          <rPr>
            <sz val="8"/>
            <rFont val="Tahoma"/>
            <charset val="134"/>
          </rPr>
          <t>see equation (3-5a) page 50.</t>
        </r>
      </text>
    </comment>
    <comment ref="E8" authorId="0">
      <text>
        <r>
          <rPr>
            <b/>
            <sz val="8"/>
            <rFont val="Tahoma"/>
            <charset val="134"/>
          </rPr>
          <t>Graham.Sortino:</t>
        </r>
        <r>
          <rPr>
            <sz val="8"/>
            <rFont val="Tahoma"/>
            <charset val="134"/>
          </rPr>
          <t xml:space="preserve">
</t>
        </r>
        <r>
          <rPr>
            <sz val="8"/>
            <rFont val="Tahoma"/>
            <charset val="134"/>
          </rPr>
          <t>Initial Velocity on the Earth's surface is 465 m/sec. I believe this is on the equator though.</t>
        </r>
      </text>
    </comment>
    <comment ref="H8" authorId="0">
      <text>
        <r>
          <rPr>
            <b/>
            <sz val="9"/>
            <rFont val="Tahoma"/>
            <charset val="134"/>
          </rPr>
          <t>Graham.Sortino:</t>
        </r>
        <r>
          <rPr>
            <sz val="9"/>
            <rFont val="Tahoma"/>
            <charset val="134"/>
          </rPr>
          <t xml:space="preserve">
</t>
        </r>
        <r>
          <rPr>
            <sz val="9"/>
            <rFont val="Tahoma"/>
            <charset val="134"/>
          </rPr>
          <t xml:space="preserve">Huzel sample-calc 4-3 (a) p887 says this is calculated from 1-32a and 1-41 but this looks to be for velocity not temp. So I will not calculate this for now but leave it up for the user to input a value. Also, see Huzel solution 4-1 (a) p70 for some examples of solving for the correction factor.
</t>
        </r>
      </text>
    </comment>
    <comment ref="Q8" authorId="0">
      <text>
        <r>
          <rPr>
            <b/>
            <sz val="8"/>
            <rFont val="Tahoma"/>
            <charset val="134"/>
          </rPr>
          <t>Graham.Sortino:</t>
        </r>
        <r>
          <rPr>
            <sz val="8"/>
            <rFont val="Tahoma"/>
            <charset val="134"/>
          </rPr>
          <t xml:space="preserve">
</t>
        </r>
        <r>
          <rPr>
            <sz val="8"/>
            <rFont val="Tahoma"/>
            <charset val="134"/>
          </rPr>
          <t xml:space="preserve">this is the initial flight launch angle. For a plane based rocket this number is probably close to 0 and for a vertically launched rocket this number is close to 90 degrees.
</t>
        </r>
        <r>
          <rPr>
            <sz val="8"/>
            <rFont val="Tahoma"/>
            <charset val="134"/>
          </rPr>
          <t xml:space="preserve">
</t>
        </r>
        <r>
          <rPr>
            <sz val="8"/>
            <rFont val="Tahoma"/>
            <charset val="134"/>
          </rPr>
          <t>This is the c value in the quadratc function</t>
        </r>
      </text>
    </comment>
    <comment ref="B9" authorId="0">
      <text>
        <r>
          <rPr>
            <b/>
            <sz val="9"/>
            <rFont val="Tahoma"/>
            <charset val="134"/>
          </rPr>
          <t>Graham.Sortino:</t>
        </r>
        <r>
          <rPr>
            <sz val="9"/>
            <rFont val="Tahoma"/>
            <charset val="134"/>
          </rPr>
          <t xml:space="preserve">
</t>
        </r>
        <r>
          <rPr>
            <sz val="9"/>
            <rFont val="Tahoma"/>
            <charset val="134"/>
          </rPr>
          <t>take from RPA or a suitable resource. See gas constant (R) comments for more details.</t>
        </r>
      </text>
    </comment>
    <comment ref="E9" authorId="0">
      <text>
        <r>
          <rPr>
            <b/>
            <sz val="8"/>
            <rFont val="Tahoma"/>
            <charset val="134"/>
          </rPr>
          <t>Graham.Sortino:</t>
        </r>
        <r>
          <rPr>
            <sz val="8"/>
            <rFont val="Tahoma"/>
            <charset val="134"/>
          </rPr>
          <t xml:space="preserve">
</t>
        </r>
        <r>
          <rPr>
            <sz val="8"/>
            <rFont val="Tahoma"/>
            <charset val="134"/>
          </rPr>
          <t xml:space="preserve">This parameter along with Force guides the choice of mass flow rate and that selects propellent mass.
</t>
        </r>
        <r>
          <rPr>
            <sz val="8"/>
            <rFont val="Tahoma"/>
            <charset val="134"/>
          </rPr>
          <t xml:space="preserve">
</t>
        </r>
        <r>
          <rPr>
            <sz val="8"/>
            <rFont val="Tahoma"/>
            <charset val="134"/>
          </rPr>
          <t>This parameter is a guidance value only and is not guaranteed to equal cutoff velocity.</t>
        </r>
      </text>
    </comment>
    <comment ref="H9" authorId="0">
      <text>
        <r>
          <rPr>
            <b/>
            <sz val="9"/>
            <rFont val="Tahoma"/>
            <charset val="134"/>
          </rPr>
          <t>Graham.Sortino:</t>
        </r>
        <r>
          <rPr>
            <sz val="9"/>
            <rFont val="Tahoma"/>
            <charset val="134"/>
          </rPr>
          <t xml:space="preserve">
</t>
        </r>
        <r>
          <rPr>
            <sz val="9"/>
            <rFont val="Tahoma"/>
            <charset val="134"/>
          </rPr>
          <t>see Sample calc 4-3  (a) (Huzel) p87</t>
        </r>
      </text>
    </comment>
    <comment ref="Q9" authorId="0">
      <text>
        <r>
          <rPr>
            <b/>
            <sz val="8"/>
            <rFont val="Tahoma"/>
            <charset val="134"/>
          </rPr>
          <t>Graham.Sortino:</t>
        </r>
        <r>
          <rPr>
            <sz val="8"/>
            <rFont val="Tahoma"/>
            <charset val="134"/>
          </rPr>
          <t xml:space="preserve">
</t>
        </r>
        <r>
          <rPr>
            <sz val="8"/>
            <rFont val="Tahoma"/>
            <charset val="134"/>
          </rPr>
          <t>This is the maximum angle attained during flight.</t>
        </r>
      </text>
    </comment>
    <comment ref="B10" authorId="0">
      <text>
        <r>
          <rPr>
            <b/>
            <sz val="8"/>
            <rFont val="Tahoma"/>
            <charset val="134"/>
          </rPr>
          <t>Graham.Sortino:</t>
        </r>
        <r>
          <rPr>
            <sz val="8"/>
            <rFont val="Tahoma"/>
            <charset val="134"/>
          </rPr>
          <t xml:space="preserve">
</t>
        </r>
        <r>
          <rPr>
            <sz val="8"/>
            <rFont val="Tahoma"/>
            <charset val="134"/>
          </rPr>
          <t xml:space="preserve">see p50 for info on gas constant. It is calculated as the Universal Gas Constant divided by the molecular mass of the propellant.
</t>
        </r>
        <r>
          <rPr>
            <sz val="8"/>
            <rFont val="Tahoma"/>
            <charset val="134"/>
          </rPr>
          <t xml:space="preserve">
</t>
        </r>
        <r>
          <rPr>
            <sz val="8"/>
            <rFont val="Tahoma"/>
            <charset val="134"/>
          </rPr>
          <t>Universal Gas Constant = 8,314.3 J/kg mol-K (or 1544 ft-lb/lb mol-</t>
        </r>
        <r>
          <rPr>
            <vertAlign val="superscript"/>
            <sz val="8"/>
            <rFont val="Tahoma"/>
            <charset val="134"/>
          </rPr>
          <t>o</t>
        </r>
        <r>
          <rPr>
            <sz val="8"/>
            <rFont val="Tahoma"/>
            <charset val="134"/>
          </rPr>
          <t xml:space="preserve">R)
</t>
        </r>
        <r>
          <rPr>
            <sz val="8"/>
            <rFont val="Tahoma"/>
            <charset val="134"/>
          </rPr>
          <t xml:space="preserve">
</t>
        </r>
        <r>
          <rPr>
            <sz val="8"/>
            <rFont val="Tahoma"/>
            <charset val="134"/>
          </rPr>
          <t xml:space="preserve">See p184 (table 5-5) for the molecular mass of common rocket propellants. 
</t>
        </r>
        <r>
          <rPr>
            <sz val="8"/>
            <rFont val="Tahoma"/>
            <charset val="134"/>
          </rPr>
          <t xml:space="preserve">
</t>
        </r>
        <r>
          <rPr>
            <sz val="8"/>
            <rFont val="Tahoma"/>
            <charset val="134"/>
          </rPr>
          <t xml:space="preserve">21.9 kg/mol  is the molecular mass of O2/RP-1. So
</t>
        </r>
        <r>
          <rPr>
            <sz val="8"/>
            <rFont val="Tahoma"/>
            <charset val="134"/>
          </rPr>
          <t>R = 8,314.3 / 21.9 = 379.6484</t>
        </r>
      </text>
    </comment>
    <comment ref="H10" authorId="0">
      <text>
        <r>
          <rPr>
            <b/>
            <sz val="9"/>
            <rFont val="Tahoma"/>
            <charset val="134"/>
          </rPr>
          <t>Graham.Sortino:</t>
        </r>
        <r>
          <rPr>
            <sz val="9"/>
            <rFont val="Tahoma"/>
            <charset val="134"/>
          </rPr>
          <t xml:space="preserve">
</t>
        </r>
        <r>
          <rPr>
            <sz val="9"/>
            <rFont val="Tahoma"/>
            <charset val="134"/>
          </rPr>
          <t>see Sample calc 4-3  (a) (Huzel) p87</t>
        </r>
      </text>
    </comment>
    <comment ref="Q10" authorId="0">
      <text>
        <r>
          <rPr>
            <b/>
            <sz val="8"/>
            <rFont val="Tahoma"/>
            <charset val="134"/>
          </rPr>
          <t>Graham.Sortino:</t>
        </r>
        <r>
          <rPr>
            <sz val="8"/>
            <rFont val="Tahoma"/>
            <charset val="134"/>
          </rPr>
          <t xml:space="preserve">
</t>
        </r>
        <r>
          <rPr>
            <sz val="8"/>
            <rFont val="Tahoma"/>
            <charset val="134"/>
          </rPr>
          <t>a value  in the quadratic function</t>
        </r>
      </text>
    </comment>
    <comment ref="B11" authorId="1">
      <text>
        <r>
          <rPr>
            <b/>
            <sz val="8"/>
            <rFont val="Tahoma"/>
            <charset val="134"/>
          </rPr>
          <t>Graham:</t>
        </r>
        <r>
          <rPr>
            <sz val="8"/>
            <rFont val="Tahoma"/>
            <charset val="134"/>
          </rPr>
          <t xml:space="preserve">
</t>
        </r>
        <r>
          <rPr>
            <sz val="8"/>
            <rFont val="Tahoma"/>
            <charset val="134"/>
          </rPr>
          <t xml:space="preserve">Temperature at the Nozzle inlet. 
</t>
        </r>
        <r>
          <rPr>
            <sz val="8"/>
            <rFont val="Tahoma"/>
            <charset val="134"/>
          </rPr>
          <t xml:space="preserve">See page 184 (table 5-5) for chamber temperatures for various propellents.
</t>
        </r>
        <r>
          <rPr>
            <sz val="8"/>
            <rFont val="Tahoma"/>
            <charset val="134"/>
          </rPr>
          <t xml:space="preserve">
</t>
        </r>
        <r>
          <rPr>
            <sz val="8"/>
            <rFont val="Tahoma"/>
            <charset val="134"/>
          </rPr>
          <t>N.B. 3571 is typically used for O2/RP1</t>
        </r>
      </text>
    </comment>
    <comment ref="H11" authorId="2">
      <text>
        <r>
          <rPr>
            <b/>
            <sz val="9"/>
            <rFont val="Tahoma"/>
            <charset val="134"/>
          </rPr>
          <t>asd2323r:</t>
        </r>
        <r>
          <rPr>
            <sz val="9"/>
            <rFont val="Tahoma"/>
            <charset val="134"/>
          </rPr>
          <t xml:space="preserve">
</t>
        </r>
        <r>
          <rPr>
            <sz val="9"/>
            <rFont val="Tahoma"/>
            <charset val="134"/>
          </rPr>
          <t>not sure how to calculate this but can be taken from RPA</t>
        </r>
      </text>
    </comment>
    <comment ref="Q11" authorId="0">
      <text>
        <r>
          <rPr>
            <b/>
            <sz val="8"/>
            <rFont val="Tahoma"/>
            <charset val="134"/>
          </rPr>
          <t>Graham.Sortino:</t>
        </r>
        <r>
          <rPr>
            <sz val="8"/>
            <rFont val="Tahoma"/>
            <charset val="134"/>
          </rPr>
          <t xml:space="preserve">
</t>
        </r>
        <r>
          <rPr>
            <sz val="8"/>
            <rFont val="Tahoma"/>
            <charset val="134"/>
          </rPr>
          <t>b value  in the quadratic function</t>
        </r>
      </text>
    </comment>
    <comment ref="B12" authorId="0">
      <text>
        <r>
          <rPr>
            <b/>
            <sz val="9"/>
            <rFont val="Tahoma"/>
            <charset val="134"/>
          </rPr>
          <t>Graham.Sortino:</t>
        </r>
        <r>
          <rPr>
            <sz val="9"/>
            <rFont val="Tahoma"/>
            <charset val="134"/>
          </rPr>
          <t xml:space="preserve">
</t>
        </r>
        <r>
          <rPr>
            <sz val="9"/>
            <rFont val="Tahoma"/>
            <charset val="134"/>
          </rPr>
          <t xml:space="preserve">select a p1 that provides maximum velocity within acceptable design limitations. 
</t>
        </r>
        <r>
          <rPr>
            <sz val="9"/>
            <rFont val="Tahoma"/>
            <charset val="134"/>
          </rPr>
          <t xml:space="preserve">
</t>
        </r>
        <r>
          <rPr>
            <sz val="9"/>
            <rFont val="Tahoma"/>
            <charset val="134"/>
          </rPr>
          <t xml:space="preserve">In otherwords don't choose an initial pressure so high that the engine is very difficult to build. 
</t>
        </r>
        <r>
          <rPr>
            <sz val="9"/>
            <rFont val="Tahoma"/>
            <charset val="134"/>
          </rPr>
          <t xml:space="preserve">
</t>
        </r>
        <r>
          <rPr>
            <sz val="9"/>
            <rFont val="Tahoma"/>
            <charset val="134"/>
          </rPr>
          <t>Favorable performance for O2/RP-1 has been seen with p1 between 100 and 3400 psia.</t>
        </r>
      </text>
    </comment>
    <comment ref="E12" authorId="0">
      <text>
        <r>
          <rPr>
            <b/>
            <sz val="8"/>
            <rFont val="Tahoma"/>
            <charset val="134"/>
          </rPr>
          <t>Graham.Sortino:</t>
        </r>
        <r>
          <rPr>
            <sz val="8"/>
            <rFont val="Tahoma"/>
            <charset val="134"/>
          </rPr>
          <t xml:space="preserve">
</t>
        </r>
        <r>
          <rPr>
            <sz val="8"/>
            <rFont val="Tahoma"/>
            <charset val="134"/>
          </rPr>
          <t xml:space="preserve">This value represents the maximum allowable force. It is a mission parameter and depends chiefly on whether the flight is manned or un-manned.
</t>
        </r>
        <r>
          <rPr>
            <sz val="8"/>
            <rFont val="Tahoma"/>
            <charset val="134"/>
          </rPr>
          <t xml:space="preserve">
</t>
        </r>
        <r>
          <rPr>
            <sz val="8"/>
            <rFont val="Tahoma"/>
            <charset val="134"/>
          </rPr>
          <t>F</t>
        </r>
        <r>
          <rPr>
            <vertAlign val="subscript"/>
            <sz val="8"/>
            <rFont val="Tahoma"/>
            <charset val="134"/>
          </rPr>
          <t>max</t>
        </r>
        <r>
          <rPr>
            <sz val="8"/>
            <rFont val="Tahoma"/>
            <charset val="134"/>
          </rPr>
          <t xml:space="preserve"> = mf*a</t>
        </r>
      </text>
    </comment>
    <comment ref="H12" authorId="0">
      <text>
        <r>
          <rPr>
            <b/>
            <sz val="9"/>
            <rFont val="Tahoma"/>
            <charset val="134"/>
          </rPr>
          <t>Graham.Sortino:</t>
        </r>
        <r>
          <rPr>
            <sz val="9"/>
            <rFont val="Tahoma"/>
            <charset val="134"/>
          </rPr>
          <t xml:space="preserve">
</t>
        </r>
        <r>
          <rPr>
            <sz val="9"/>
            <rFont val="Tahoma"/>
            <charset val="134"/>
          </rPr>
          <t xml:space="preserve">see huzel equation 4-15 (p86)
</t>
        </r>
        <r>
          <rPr>
            <sz val="9"/>
            <rFont val="Tahoma"/>
            <charset val="134"/>
          </rPr>
          <t xml:space="preserve">
</t>
        </r>
        <r>
          <rPr>
            <sz val="9"/>
            <rFont val="Tahoma"/>
            <charset val="134"/>
          </rPr>
          <t xml:space="preserve">Note - a better estimation can be found by using the method from http://en.wikipedia.org/wiki/Prandtl_number.
</t>
        </r>
        <r>
          <rPr>
            <sz val="9"/>
            <rFont val="Tahoma"/>
            <charset val="134"/>
          </rPr>
          <t xml:space="preserve">
</t>
        </r>
        <r>
          <rPr>
            <sz val="9"/>
            <rFont val="Tahoma"/>
            <charset val="134"/>
          </rPr>
          <t>Or simply take from RPA</t>
        </r>
      </text>
    </comment>
    <comment ref="E13" authorId="0">
      <text>
        <r>
          <rPr>
            <b/>
            <sz val="8"/>
            <rFont val="Tahoma"/>
            <charset val="134"/>
          </rPr>
          <t>Graham.Sortino:</t>
        </r>
        <r>
          <rPr>
            <sz val="8"/>
            <rFont val="Tahoma"/>
            <charset val="134"/>
          </rPr>
          <t xml:space="preserve">
</t>
        </r>
        <r>
          <rPr>
            <sz val="8"/>
            <rFont val="Tahoma"/>
            <charset val="134"/>
          </rPr>
          <t xml:space="preserve">This value represents the maximum allowable force. It is a mission parameter and depends chiefly on whether the flight is manned or un-manned.
</t>
        </r>
        <r>
          <rPr>
            <sz val="8"/>
            <rFont val="Tahoma"/>
            <charset val="134"/>
          </rPr>
          <t xml:space="preserve">
</t>
        </r>
        <r>
          <rPr>
            <sz val="8"/>
            <rFont val="Tahoma"/>
            <charset val="134"/>
          </rPr>
          <t>F</t>
        </r>
        <r>
          <rPr>
            <vertAlign val="subscript"/>
            <sz val="8"/>
            <rFont val="Tahoma"/>
            <charset val="134"/>
          </rPr>
          <t>max</t>
        </r>
        <r>
          <rPr>
            <sz val="8"/>
            <rFont val="Tahoma"/>
            <charset val="134"/>
          </rPr>
          <t xml:space="preserve"> = mf*a</t>
        </r>
      </text>
    </comment>
    <comment ref="H13" authorId="0">
      <text>
        <r>
          <rPr>
            <b/>
            <sz val="9"/>
            <rFont val="Tahoma"/>
            <charset val="134"/>
          </rPr>
          <t>Graham.Sortino:</t>
        </r>
        <r>
          <rPr>
            <sz val="9"/>
            <rFont val="Tahoma"/>
            <charset val="134"/>
          </rPr>
          <t xml:space="preserve">
</t>
        </r>
        <r>
          <rPr>
            <sz val="9"/>
            <rFont val="Tahoma"/>
            <charset val="134"/>
          </rPr>
          <t xml:space="preserve">This is a desired temperature based on the properties of the wall material + an allowable tolerence.
</t>
        </r>
        <r>
          <rPr>
            <sz val="9"/>
            <rFont val="Tahoma"/>
            <charset val="134"/>
          </rPr>
          <t xml:space="preserve">
</t>
        </r>
        <r>
          <rPr>
            <sz val="9"/>
            <rFont val="Tahoma"/>
            <charset val="134"/>
          </rPr>
          <t xml:space="preserve">Some references:
</t>
        </r>
        <r>
          <rPr>
            <sz val="9"/>
            <rFont val="Tahoma"/>
            <charset val="134"/>
          </rPr>
          <t>Aluminum 6061: http://asm.matweb.com/search/SpecificMaterial.asp?bassnum=MA6061t6</t>
        </r>
      </text>
    </comment>
    <comment ref="B14" authorId="0">
      <text>
        <r>
          <rPr>
            <b/>
            <sz val="9"/>
            <rFont val="Tahoma"/>
            <charset val="134"/>
          </rPr>
          <t>Graham.Sortino:</t>
        </r>
        <r>
          <rPr>
            <sz val="9"/>
            <rFont val="Tahoma"/>
            <charset val="134"/>
          </rPr>
          <t xml:space="preserve">
</t>
        </r>
        <r>
          <rPr>
            <sz val="9"/>
            <rFont val="Tahoma"/>
            <charset val="134"/>
          </rPr>
          <t>p2 can easily be selected based upon the mission of the rocket. Optimum expansion is when p2 = p3. So select a value based on this condition see "Properties of Atmosphere" tab for pressures at various altitudes.</t>
        </r>
      </text>
    </comment>
    <comment ref="H14" authorId="0">
      <text>
        <r>
          <rPr>
            <b/>
            <sz val="9"/>
            <rFont val="Tahoma"/>
            <charset val="134"/>
          </rPr>
          <t>Graham.Sortino:</t>
        </r>
        <r>
          <rPr>
            <sz val="9"/>
            <rFont val="Tahoma"/>
            <charset val="134"/>
          </rPr>
          <t xml:space="preserve">
</t>
        </r>
        <r>
          <rPr>
            <sz val="9"/>
            <rFont val="Tahoma"/>
            <charset val="134"/>
          </rPr>
          <t xml:space="preserve">This is a desired temperature based on the properties of the wall material + an allowable tolerence.
</t>
        </r>
        <r>
          <rPr>
            <sz val="9"/>
            <rFont val="Tahoma"/>
            <charset val="134"/>
          </rPr>
          <t xml:space="preserve">
</t>
        </r>
        <r>
          <rPr>
            <sz val="9"/>
            <rFont val="Tahoma"/>
            <charset val="134"/>
          </rPr>
          <t xml:space="preserve">Some references:
</t>
        </r>
        <r>
          <rPr>
            <sz val="9"/>
            <rFont val="Tahoma"/>
            <charset val="134"/>
          </rPr>
          <t>Aluminum 6061: http://asm.matweb.com/search/SpecificMaterial.asp?bassnum=MA6061t6</t>
        </r>
      </text>
    </comment>
    <comment ref="E15" authorId="0">
      <text>
        <r>
          <rPr>
            <b/>
            <sz val="8"/>
            <rFont val="Tahoma"/>
            <charset val="134"/>
          </rPr>
          <t>Graham.Sortino:</t>
        </r>
        <r>
          <rPr>
            <sz val="8"/>
            <rFont val="Tahoma"/>
            <charset val="134"/>
          </rPr>
          <t xml:space="preserve">
</t>
        </r>
        <r>
          <rPr>
            <sz val="8"/>
            <rFont val="Tahoma"/>
            <charset val="134"/>
          </rPr>
          <t xml:space="preserve">Solving for mp given mf. See equation 4-8 for an example.
</t>
        </r>
        <r>
          <rPr>
            <sz val="8"/>
            <rFont val="Tahoma"/>
            <charset val="134"/>
          </rPr>
          <t xml:space="preserve">
</t>
        </r>
        <r>
          <rPr>
            <sz val="8"/>
            <rFont val="Tahoma"/>
            <charset val="134"/>
          </rPr>
          <t>An alternative is to use  a reballancing of equation 4-7 where we solve for mp. See p331 for an example.</t>
        </r>
      </text>
    </comment>
    <comment ref="H15" authorId="0">
      <text>
        <r>
          <rPr>
            <b/>
            <sz val="9"/>
            <rFont val="Tahoma"/>
            <charset val="134"/>
          </rPr>
          <t>Graham.Sortino:</t>
        </r>
        <r>
          <rPr>
            <sz val="9"/>
            <rFont val="Tahoma"/>
            <charset val="134"/>
          </rPr>
          <t xml:space="preserve">
</t>
        </r>
        <r>
          <rPr>
            <sz val="9"/>
            <rFont val="Tahoma"/>
            <charset val="134"/>
          </rPr>
          <t xml:space="preserve">Estimated from .9 to .98 (see p85) of Huzel
</t>
        </r>
        <r>
          <rPr>
            <sz val="9"/>
            <rFont val="Tahoma"/>
            <charset val="134"/>
          </rPr>
          <t xml:space="preserve">
</t>
        </r>
        <r>
          <rPr>
            <sz val="9"/>
            <rFont val="Tahoma"/>
            <charset val="134"/>
          </rPr>
          <t>typically .923 is used as an estimated value.</t>
        </r>
      </text>
    </comment>
    <comment ref="I15" authorId="2">
      <text>
        <r>
          <rPr>
            <b/>
            <sz val="9"/>
            <rFont val="Tahoma"/>
            <charset val="134"/>
          </rPr>
          <t>asd2323r:</t>
        </r>
        <r>
          <rPr>
            <sz val="9"/>
            <rFont val="Tahoma"/>
            <charset val="134"/>
          </rPr>
          <t xml:space="preserve">
</t>
        </r>
        <r>
          <rPr>
            <sz val="9"/>
            <rFont val="Tahoma"/>
            <charset val="134"/>
          </rPr>
          <t>this is not currently used as its been replaced by the calculated stagnation recovery factor. See calcuation of Adiabatic Wall Temp (Taw) for details.</t>
        </r>
      </text>
    </comment>
    <comment ref="B16" authorId="0">
      <text>
        <r>
          <rPr>
            <b/>
            <sz val="9"/>
            <rFont val="Tahoma"/>
            <charset val="134"/>
          </rPr>
          <t>Graham.Sortino:</t>
        </r>
        <r>
          <rPr>
            <sz val="9"/>
            <rFont val="Tahoma"/>
            <charset val="134"/>
          </rPr>
          <t xml:space="preserve">
</t>
        </r>
        <r>
          <rPr>
            <sz val="9"/>
            <rFont val="Tahoma"/>
            <charset val="134"/>
          </rPr>
          <t>Typically this will be optimum expansion where p2 = p3.</t>
        </r>
      </text>
    </comment>
    <comment ref="E16" authorId="0">
      <text>
        <r>
          <rPr>
            <b/>
            <sz val="8"/>
            <rFont val="Tahoma"/>
            <charset val="134"/>
          </rPr>
          <t>Graham.Sortino:</t>
        </r>
        <r>
          <rPr>
            <sz val="8"/>
            <rFont val="Tahoma"/>
            <charset val="134"/>
          </rPr>
          <t xml:space="preserve">
</t>
        </r>
        <r>
          <rPr>
            <sz val="8"/>
            <rFont val="Tahoma"/>
            <charset val="134"/>
          </rPr>
          <t xml:space="preserve">inert hardware includes: tanks, gas, generator, turbopumps, etc…
</t>
        </r>
        <r>
          <rPr>
            <sz val="8"/>
            <rFont val="Tahoma"/>
            <charset val="134"/>
          </rPr>
          <t xml:space="preserve">
</t>
        </r>
        <r>
          <rPr>
            <sz val="8"/>
            <rFont val="Tahoma"/>
            <charset val="134"/>
          </rPr>
          <t>Typical value is 7% of propellent mass</t>
        </r>
      </text>
    </comment>
    <comment ref="H16" authorId="2">
      <text>
        <r>
          <rPr>
            <b/>
            <sz val="9"/>
            <rFont val="Tahoma"/>
            <charset val="134"/>
          </rPr>
          <t>asd2323r:</t>
        </r>
        <r>
          <rPr>
            <sz val="9"/>
            <rFont val="Tahoma"/>
            <charset val="134"/>
          </rPr>
          <t xml:space="preserve">
</t>
        </r>
        <r>
          <rPr>
            <sz val="9"/>
            <rFont val="Tahoma"/>
            <charset val="134"/>
          </rPr>
          <t>see sample calculation 4-3 (a) from Huzel and Huang (top of p87) for details</t>
        </r>
      </text>
    </comment>
    <comment ref="H17" authorId="0">
      <text>
        <r>
          <rPr>
            <b/>
            <sz val="9"/>
            <rFont val="Tahoma"/>
            <charset val="134"/>
          </rPr>
          <t>Graham.Sortino:</t>
        </r>
        <r>
          <rPr>
            <sz val="9"/>
            <rFont val="Tahoma"/>
            <charset val="134"/>
          </rPr>
          <t xml:space="preserve">
</t>
        </r>
        <r>
          <rPr>
            <sz val="9"/>
            <rFont val="Tahoma"/>
            <charset val="134"/>
          </rPr>
          <t xml:space="preserve">according to the following linke the conversion factor is: 0.0002388458966275. We also multiply the metric value by 1000 to go from kj to joule.
</t>
        </r>
        <r>
          <rPr>
            <sz val="9"/>
            <rFont val="Tahoma"/>
            <charset val="134"/>
          </rPr>
          <t xml:space="preserve">
</t>
        </r>
        <r>
          <rPr>
            <sz val="9"/>
            <rFont val="Tahoma"/>
            <charset val="134"/>
          </rPr>
          <t>http://metricsystemconversion.info/British-thermal-unitIT-per-pound-degree-Rankine-BtuIT-lb-%B7-%BAR-to-joule-per-kilogram-kelvin-J-kg-%B7-K.html?func=detail</t>
        </r>
      </text>
    </comment>
    <comment ref="H18" authorId="2">
      <text>
        <r>
          <rPr>
            <b/>
            <sz val="9"/>
            <rFont val="Tahoma"/>
            <charset val="134"/>
          </rPr>
          <t>asd2323r:</t>
        </r>
        <r>
          <rPr>
            <sz val="9"/>
            <rFont val="Tahoma"/>
            <charset val="134"/>
          </rPr>
          <t xml:space="preserve">
</t>
        </r>
        <r>
          <rPr>
            <sz val="9"/>
            <rFont val="Tahoma"/>
            <charset val="134"/>
          </rPr>
          <t>This can be taken from 4-16 in huzel and huang. However, its also available in RPA so I'm taking it from there instead.</t>
        </r>
      </text>
    </comment>
    <comment ref="E19" authorId="0">
      <text>
        <r>
          <rPr>
            <b/>
            <sz val="8"/>
            <rFont val="Tahoma"/>
            <charset val="134"/>
          </rPr>
          <t>Graham.Sortino:</t>
        </r>
        <r>
          <rPr>
            <sz val="8"/>
            <rFont val="Tahoma"/>
            <charset val="134"/>
          </rPr>
          <t xml:space="preserve">
</t>
        </r>
        <r>
          <rPr>
            <sz val="8"/>
            <rFont val="Tahoma"/>
            <charset val="134"/>
          </rPr>
          <t>Final Mass / Initial Mass</t>
        </r>
      </text>
    </comment>
    <comment ref="H19" authorId="0">
      <text>
        <r>
          <rPr>
            <b/>
            <sz val="9"/>
            <rFont val="Tahoma"/>
            <charset val="134"/>
          </rPr>
          <t>Graham.Sortino:</t>
        </r>
        <r>
          <rPr>
            <sz val="9"/>
            <rFont val="Tahoma"/>
            <charset val="134"/>
          </rPr>
          <t xml:space="preserve">
</t>
        </r>
        <r>
          <rPr>
            <sz val="9"/>
            <rFont val="Tahoma"/>
            <charset val="134"/>
          </rPr>
          <t>See equation 4-16 Huzel (p86). If actual data is available then it can be substituted in.</t>
        </r>
      </text>
    </comment>
    <comment ref="B20" authorId="0">
      <text>
        <r>
          <rPr>
            <b/>
            <sz val="8"/>
            <rFont val="Tahoma"/>
            <charset val="134"/>
          </rPr>
          <t>Graham.Sortino:</t>
        </r>
        <r>
          <rPr>
            <sz val="8"/>
            <rFont val="Tahoma"/>
            <charset val="134"/>
          </rPr>
          <t xml:space="preserve">
</t>
        </r>
        <r>
          <rPr>
            <sz val="8"/>
            <rFont val="Tahoma"/>
            <charset val="134"/>
          </rPr>
          <t>calculated from 3-20</t>
        </r>
      </text>
    </comment>
    <comment ref="E20" authorId="0">
      <text>
        <r>
          <rPr>
            <b/>
            <sz val="8"/>
            <rFont val="Tahoma"/>
            <charset val="134"/>
          </rPr>
          <t>Graham.Sortino:</t>
        </r>
        <r>
          <rPr>
            <sz val="8"/>
            <rFont val="Tahoma"/>
            <charset val="134"/>
          </rPr>
          <t xml:space="preserve">
</t>
        </r>
        <r>
          <rPr>
            <sz val="8"/>
            <rFont val="Tahoma"/>
            <charset val="134"/>
          </rPr>
          <t xml:space="preserve">Initial Mass / Final Mass
</t>
        </r>
        <r>
          <rPr>
            <sz val="8"/>
            <rFont val="Tahoma"/>
            <charset val="134"/>
          </rPr>
          <t xml:space="preserve">
</t>
        </r>
        <r>
          <rPr>
            <sz val="8"/>
            <rFont val="Tahoma"/>
            <charset val="134"/>
          </rPr>
          <t>See figure 4-2 for charted values in a gravity free environment</t>
        </r>
      </text>
    </comment>
    <comment ref="H20" authorId="0">
      <text>
        <r>
          <rPr>
            <b/>
            <sz val="9"/>
            <rFont val="Tahoma"/>
            <charset val="134"/>
          </rPr>
          <t>Graham.Sortino:</t>
        </r>
        <r>
          <rPr>
            <sz val="9"/>
            <rFont val="Tahoma"/>
            <charset val="134"/>
          </rPr>
          <t xml:space="preserve">
</t>
        </r>
        <r>
          <rPr>
            <sz val="9"/>
            <rFont val="Tahoma"/>
            <charset val="134"/>
          </rPr>
          <t xml:space="preserve">I'm still not sure exactly what this is but I think it assumes some sort of hypothetical scenario where the wall temp aproaches it's limit.
</t>
        </r>
        <r>
          <rPr>
            <sz val="9"/>
            <rFont val="Tahoma"/>
            <charset val="134"/>
          </rPr>
          <t xml:space="preserve">
</t>
        </r>
        <r>
          <rPr>
            <sz val="9"/>
            <rFont val="Tahoma"/>
            <charset val="134"/>
          </rPr>
          <t xml:space="preserve">It seems that this has a strong correlation with sigma and thus it affects the gas side heat coefficient. A value closer to 1 decreases the heat coefficient.
</t>
        </r>
        <r>
          <rPr>
            <sz val="9"/>
            <rFont val="Tahoma"/>
            <charset val="134"/>
          </rPr>
          <t xml:space="preserve">
</t>
        </r>
        <r>
          <rPr>
            <sz val="9"/>
            <rFont val="Tahoma"/>
            <charset val="134"/>
          </rPr>
          <t>See fig 4-28 page 86 of Huzel and sample calc 4-3 (a) p87 for more information on this value.</t>
        </r>
      </text>
    </comment>
    <comment ref="B21" authorId="0">
      <text>
        <r>
          <rPr>
            <b/>
            <sz val="8"/>
            <rFont val="Tahoma"/>
            <charset val="134"/>
          </rPr>
          <t>Graham.Sortino:</t>
        </r>
        <r>
          <rPr>
            <sz val="8"/>
            <rFont val="Tahoma"/>
            <charset val="134"/>
          </rPr>
          <t xml:space="preserve">
</t>
        </r>
        <r>
          <rPr>
            <sz val="8"/>
            <rFont val="Tahoma"/>
            <charset val="134"/>
          </rPr>
          <t>calculated from 3-20</t>
        </r>
      </text>
    </comment>
    <comment ref="E21" authorId="0">
      <text>
        <r>
          <rPr>
            <b/>
            <sz val="8"/>
            <rFont val="Tahoma"/>
            <charset val="134"/>
          </rPr>
          <t>Graham.Sortino:</t>
        </r>
        <r>
          <rPr>
            <sz val="8"/>
            <rFont val="Tahoma"/>
            <charset val="134"/>
          </rPr>
          <t xml:space="preserve">
</t>
        </r>
        <r>
          <rPr>
            <sz val="8"/>
            <rFont val="Tahoma"/>
            <charset val="134"/>
          </rPr>
          <t xml:space="preserve">&lt;--- Represents the amount of propellent used per second
</t>
        </r>
        <r>
          <rPr>
            <sz val="8"/>
            <rFont val="Tahoma"/>
            <charset val="134"/>
          </rPr>
          <t xml:space="preserve">
</t>
        </r>
        <r>
          <rPr>
            <sz val="8"/>
            <rFont val="Tahoma"/>
            <charset val="134"/>
          </rPr>
          <t xml:space="preserve">
</t>
        </r>
        <r>
          <rPr>
            <sz val="8"/>
            <rFont val="Tahoma"/>
            <charset val="134"/>
          </rPr>
          <t>Mass flow rate may be very simply calculated by taking the usable propellant mass and dividing it by the burn time. This of course assumes equal burn.</t>
        </r>
      </text>
    </comment>
    <comment ref="H21" authorId="0">
      <text>
        <r>
          <rPr>
            <b/>
            <sz val="9"/>
            <rFont val="Tahoma"/>
            <charset val="134"/>
          </rPr>
          <t>Graham.Sortino:</t>
        </r>
        <r>
          <rPr>
            <sz val="9"/>
            <rFont val="Tahoma"/>
            <charset val="134"/>
          </rPr>
          <t xml:space="preserve">
</t>
        </r>
        <r>
          <rPr>
            <sz val="9"/>
            <rFont val="Tahoma"/>
            <charset val="134"/>
          </rPr>
          <t>look this up in material data sheets. Thermal conductivity is dependent on temperature so keep that in mind when researching this value.</t>
        </r>
      </text>
    </comment>
    <comment ref="B22" authorId="1">
      <text>
        <r>
          <rPr>
            <b/>
            <sz val="8"/>
            <rFont val="Tahoma"/>
            <charset val="134"/>
          </rPr>
          <t>Graham:</t>
        </r>
        <r>
          <rPr>
            <sz val="8"/>
            <rFont val="Tahoma"/>
            <charset val="134"/>
          </rPr>
          <t xml:space="preserve">
</t>
        </r>
        <r>
          <rPr>
            <sz val="8"/>
            <rFont val="Tahoma"/>
            <charset val="134"/>
          </rPr>
          <t xml:space="preserve">Used to calculate the effective percentage loss in Ideal Velocity due to drag forces. Typical Values are between 5 and 10%. 
</t>
        </r>
        <r>
          <rPr>
            <sz val="8"/>
            <rFont val="Tahoma"/>
            <charset val="134"/>
          </rPr>
          <t xml:space="preserve">
</t>
        </r>
        <r>
          <rPr>
            <sz val="8"/>
            <rFont val="Tahoma"/>
            <charset val="134"/>
          </rPr>
          <t>See bottom of page 108 for more details.</t>
        </r>
      </text>
    </comment>
    <comment ref="H22" authorId="0">
      <text>
        <r>
          <rPr>
            <b/>
            <sz val="9"/>
            <rFont val="Tahoma"/>
            <charset val="134"/>
          </rPr>
          <t>Graham.Sortino:</t>
        </r>
        <r>
          <rPr>
            <sz val="9"/>
            <rFont val="Tahoma"/>
            <charset val="134"/>
          </rPr>
          <t xml:space="preserve">
</t>
        </r>
        <r>
          <rPr>
            <sz val="9"/>
            <rFont val="Tahoma"/>
            <charset val="134"/>
          </rPr>
          <t>look this up in material data sheets. Thermal conductivity is dependent on temperature so keep that in mind when researching this value.</t>
        </r>
      </text>
    </comment>
    <comment ref="I22" authorId="2">
      <text>
        <r>
          <rPr>
            <b/>
            <sz val="9"/>
            <rFont val="Tahoma"/>
            <charset val="134"/>
          </rPr>
          <t>asd2323r:</t>
        </r>
        <r>
          <rPr>
            <sz val="9"/>
            <rFont val="Tahoma"/>
            <charset val="134"/>
          </rPr>
          <t xml:space="preserve">
</t>
        </r>
        <r>
          <rPr>
            <sz val="9"/>
            <rFont val="Tahoma"/>
            <charset val="134"/>
          </rPr>
          <t>this conversion is mashed up from taking the 1 W/m/k = 0.001925964 BTU (IT) in/sec/ft^2/oF found here: http://www.unitconversion.org/unit_converter/thermal-conductivity.html and dividing by 144 to convert from square feet to square inches.</t>
        </r>
      </text>
    </comment>
    <comment ref="B23" authorId="0">
      <text>
        <r>
          <rPr>
            <b/>
            <sz val="8"/>
            <rFont val="Tahoma"/>
            <charset val="134"/>
          </rPr>
          <t>Graham.Sortino:</t>
        </r>
        <r>
          <rPr>
            <sz val="8"/>
            <rFont val="Tahoma"/>
            <charset val="134"/>
          </rPr>
          <t xml:space="preserve">
</t>
        </r>
        <r>
          <rPr>
            <sz val="8"/>
            <rFont val="Tahoma"/>
            <charset val="134"/>
          </rPr>
          <t>calculated from 3-16</t>
        </r>
      </text>
    </comment>
    <comment ref="B24" authorId="0">
      <text>
        <r>
          <rPr>
            <b/>
            <sz val="9"/>
            <rFont val="Tahoma"/>
            <charset val="134"/>
          </rPr>
          <t>Graham.Sortino:</t>
        </r>
        <r>
          <rPr>
            <sz val="9"/>
            <rFont val="Tahoma"/>
            <charset val="134"/>
          </rPr>
          <t xml:space="preserve">
</t>
        </r>
        <r>
          <rPr>
            <sz val="9"/>
            <rFont val="Tahoma"/>
            <charset val="134"/>
          </rPr>
          <t>Determined from 3-32 (Sutton) p68. Actual Equation (left most equation)</t>
        </r>
      </text>
    </comment>
    <comment ref="B25" authorId="0">
      <text>
        <r>
          <rPr>
            <b/>
            <sz val="9"/>
            <rFont val="Tahoma"/>
            <charset val="134"/>
          </rPr>
          <t>Graham.Sortino:</t>
        </r>
        <r>
          <rPr>
            <sz val="9"/>
            <rFont val="Tahoma"/>
            <charset val="134"/>
          </rPr>
          <t xml:space="preserve">
</t>
        </r>
        <r>
          <rPr>
            <sz val="9"/>
            <rFont val="Tahoma"/>
            <charset val="134"/>
          </rPr>
          <t>Determined from 3-32 (Sutton) p68. Actual Equation (right most equation).</t>
        </r>
      </text>
    </comment>
    <comment ref="E25" authorId="0">
      <text>
        <r>
          <rPr>
            <b/>
            <sz val="8"/>
            <rFont val="Tahoma"/>
            <charset val="134"/>
          </rPr>
          <t>Graham.Sortino:</t>
        </r>
        <r>
          <rPr>
            <sz val="8"/>
            <rFont val="Tahoma"/>
            <charset val="134"/>
          </rPr>
          <t xml:space="preserve">
</t>
        </r>
        <r>
          <rPr>
            <sz val="8"/>
            <rFont val="Tahoma"/>
            <charset val="134"/>
          </rPr>
          <t xml:space="preserve">&lt;--- Represents the amount of propellent used per second
</t>
        </r>
        <r>
          <rPr>
            <sz val="8"/>
            <rFont val="Tahoma"/>
            <charset val="134"/>
          </rPr>
          <t xml:space="preserve">
</t>
        </r>
        <r>
          <rPr>
            <sz val="8"/>
            <rFont val="Tahoma"/>
            <charset val="134"/>
          </rPr>
          <t xml:space="preserve">
</t>
        </r>
        <r>
          <rPr>
            <sz val="8"/>
            <rFont val="Tahoma"/>
            <charset val="134"/>
          </rPr>
          <t>Mass flow rate may be very simply calculated by taking the usable propellant mass and dividing it by the burn time. This of course assumes equal burn.</t>
        </r>
      </text>
    </comment>
    <comment ref="H25" authorId="0">
      <text>
        <r>
          <rPr>
            <b/>
            <sz val="9"/>
            <rFont val="Tahoma"/>
            <charset val="134"/>
          </rPr>
          <t>Graham.Sortino:</t>
        </r>
        <r>
          <rPr>
            <sz val="9"/>
            <rFont val="Tahoma"/>
            <charset val="134"/>
          </rPr>
          <t xml:space="preserve">
</t>
        </r>
        <r>
          <rPr>
            <sz val="9"/>
            <rFont val="Tahoma"/>
            <charset val="134"/>
          </rPr>
          <t>calculatedv via 3-11 (Sutton) p51. Throat will always be 1 and I'm not sure how to calculate chamber because I don't know how to obtain chamber velocity.</t>
        </r>
      </text>
    </comment>
    <comment ref="I25" authorId="0">
      <text>
        <r>
          <rPr>
            <b/>
            <sz val="9"/>
            <rFont val="Tahoma"/>
            <charset val="134"/>
          </rPr>
          <t>Graham.Sortino:</t>
        </r>
        <r>
          <rPr>
            <sz val="9"/>
            <rFont val="Tahoma"/>
            <charset val="134"/>
          </rPr>
          <t xml:space="preserve">
</t>
        </r>
        <r>
          <rPr>
            <sz val="9"/>
            <rFont val="Tahoma"/>
            <charset val="134"/>
          </rPr>
          <t>guess for now?</t>
        </r>
      </text>
    </comment>
    <comment ref="E26" authorId="0">
      <text>
        <r>
          <rPr>
            <b/>
            <sz val="8"/>
            <rFont val="Tahoma"/>
            <charset val="134"/>
          </rPr>
          <t>Graham.Sortino:</t>
        </r>
        <r>
          <rPr>
            <sz val="8"/>
            <rFont val="Tahoma"/>
            <charset val="134"/>
          </rPr>
          <t xml:space="preserve">
</t>
        </r>
        <r>
          <rPr>
            <sz val="8"/>
            <rFont val="Tahoma"/>
            <charset val="134"/>
          </rPr>
          <t xml:space="preserve">&lt;--- Represents the amount of propellent used per second
</t>
        </r>
        <r>
          <rPr>
            <sz val="8"/>
            <rFont val="Tahoma"/>
            <charset val="134"/>
          </rPr>
          <t xml:space="preserve">
</t>
        </r>
        <r>
          <rPr>
            <sz val="8"/>
            <rFont val="Tahoma"/>
            <charset val="134"/>
          </rPr>
          <t xml:space="preserve">
</t>
        </r>
        <r>
          <rPr>
            <sz val="8"/>
            <rFont val="Tahoma"/>
            <charset val="134"/>
          </rPr>
          <t>Mass flow rate may be very simply calculated by taking the usable propellant mass and dividing it by the burn time. This of course assumes equal burn.</t>
        </r>
      </text>
    </comment>
    <comment ref="H26" authorId="0">
      <text>
        <r>
          <rPr>
            <b/>
            <sz val="9"/>
            <rFont val="Tahoma"/>
            <charset val="134"/>
          </rPr>
          <t>Graham.Sortino:</t>
        </r>
        <r>
          <rPr>
            <sz val="9"/>
            <rFont val="Tahoma"/>
            <charset val="134"/>
          </rPr>
          <t xml:space="preserve">
</t>
        </r>
        <r>
          <rPr>
            <sz val="9"/>
            <rFont val="Tahoma"/>
            <charset val="134"/>
          </rPr>
          <t>Calculated from 4-14 Huzel p86</t>
        </r>
      </text>
    </comment>
    <comment ref="E27" authorId="0">
      <text>
        <r>
          <rPr>
            <b/>
            <sz val="9"/>
            <rFont val="Tahoma"/>
            <charset val="134"/>
          </rPr>
          <t>Graham.Sortino:</t>
        </r>
        <r>
          <rPr>
            <sz val="9"/>
            <rFont val="Tahoma"/>
            <charset val="134"/>
          </rPr>
          <t xml:space="preserve">
</t>
        </r>
        <r>
          <rPr>
            <sz val="9"/>
            <rFont val="Tahoma"/>
            <charset val="134"/>
          </rPr>
          <t xml:space="preserve">This field is special. Either enter the known value (typlically for liquids) or paste in the below equation:
</t>
        </r>
        <r>
          <rPr>
            <sz val="9"/>
            <rFont val="Tahoma"/>
            <charset val="134"/>
          </rPr>
          <t xml:space="preserve">
</t>
        </r>
        <r>
          <rPr>
            <sz val="9"/>
            <rFont val="Tahoma"/>
            <charset val="134"/>
          </rPr>
          <t xml:space="preserve">pressure/(compressability-factor*(gas-constant/molecular-mass)*temp)
</t>
        </r>
        <r>
          <rPr>
            <sz val="9"/>
            <rFont val="Tahoma"/>
            <charset val="134"/>
          </rPr>
          <t xml:space="preserve">
</t>
        </r>
        <r>
          <rPr>
            <sz val="9"/>
            <rFont val="Tahoma"/>
            <charset val="134"/>
          </rPr>
          <t xml:space="preserve">=(F38*6894.75729)/(F36*((8314.4621)/F43)*F45)
</t>
        </r>
        <r>
          <rPr>
            <sz val="9"/>
            <rFont val="Tahoma"/>
            <charset val="134"/>
          </rPr>
          <t xml:space="preserve">
</t>
        </r>
        <r>
          <rPr>
            <sz val="9"/>
            <rFont val="Tahoma"/>
            <charset val="134"/>
          </rPr>
          <t>to calculate values: http://yeroc.us/calculators/gas-density.php</t>
        </r>
      </text>
    </comment>
    <comment ref="H27" authorId="0">
      <text>
        <r>
          <rPr>
            <b/>
            <sz val="9"/>
            <rFont val="Tahoma"/>
            <charset val="134"/>
          </rPr>
          <t>Graham.Sortino:</t>
        </r>
        <r>
          <rPr>
            <sz val="9"/>
            <rFont val="Tahoma"/>
            <charset val="134"/>
          </rPr>
          <t xml:space="preserve">
</t>
        </r>
        <r>
          <rPr>
            <sz val="9"/>
            <rFont val="Tahoma"/>
            <charset val="134"/>
          </rPr>
          <t>solved via 4-13 Huzel  p86. Does not include a correction factor for thermal deposits</t>
        </r>
      </text>
    </comment>
    <comment ref="E28" authorId="0">
      <text>
        <r>
          <rPr>
            <b/>
            <sz val="9"/>
            <rFont val="Tahoma"/>
            <charset val="134"/>
          </rPr>
          <t>Graham.Sortino:</t>
        </r>
        <r>
          <rPr>
            <sz val="9"/>
            <rFont val="Tahoma"/>
            <charset val="134"/>
          </rPr>
          <t xml:space="preserve">
</t>
        </r>
        <r>
          <rPr>
            <sz val="9"/>
            <rFont val="Tahoma"/>
            <charset val="134"/>
          </rPr>
          <t xml:space="preserve">This field is special. Either enter the known value (typlically for liquids) or paste in the below equation:
</t>
        </r>
        <r>
          <rPr>
            <sz val="9"/>
            <rFont val="Tahoma"/>
            <charset val="134"/>
          </rPr>
          <t xml:space="preserve">
</t>
        </r>
        <r>
          <rPr>
            <sz val="9"/>
            <rFont val="Tahoma"/>
            <charset val="134"/>
          </rPr>
          <t xml:space="preserve">pressure/(compressability-factor*(gas-constant/molecular-mass)*temp)
</t>
        </r>
        <r>
          <rPr>
            <sz val="9"/>
            <rFont val="Tahoma"/>
            <charset val="134"/>
          </rPr>
          <t xml:space="preserve">
</t>
        </r>
        <r>
          <rPr>
            <sz val="9"/>
            <rFont val="Tahoma"/>
            <charset val="134"/>
          </rPr>
          <t xml:space="preserve">=(F38*6894.75729)/(F36*((8314.4621)/F43)*F45)
</t>
        </r>
        <r>
          <rPr>
            <sz val="9"/>
            <rFont val="Tahoma"/>
            <charset val="134"/>
          </rPr>
          <t xml:space="preserve">
</t>
        </r>
        <r>
          <rPr>
            <sz val="9"/>
            <rFont val="Tahoma"/>
            <charset val="134"/>
          </rPr>
          <t>to calculate values: http://yeroc.us/calculators/gas-density.php</t>
        </r>
      </text>
    </comment>
    <comment ref="H28" authorId="2">
      <text>
        <r>
          <rPr>
            <b/>
            <sz val="9"/>
            <rFont val="Tahoma"/>
            <charset val="134"/>
          </rPr>
          <t>asd2323r:</t>
        </r>
        <r>
          <rPr>
            <sz val="9"/>
            <rFont val="Tahoma"/>
            <charset val="134"/>
          </rPr>
          <t xml:space="preserve">
</t>
        </r>
        <r>
          <rPr>
            <sz val="9"/>
            <rFont val="Tahoma"/>
            <charset val="134"/>
          </rPr>
          <t>for some reason in the metric equicalent of this function the gravity constant is removed according to; http://www.propulsion-analysis.com/downloads/2/docs/RPA_ThermalAnalysis.pdf Bartz Method (p7)</t>
        </r>
      </text>
    </comment>
    <comment ref="L28" authorId="2">
      <text>
        <r>
          <rPr>
            <b/>
            <sz val="9"/>
            <rFont val="Tahoma"/>
            <charset val="134"/>
          </rPr>
          <t>asd2323r:</t>
        </r>
        <r>
          <rPr>
            <sz val="9"/>
            <rFont val="Tahoma"/>
            <charset val="134"/>
          </rPr>
          <t xml:space="preserve">
</t>
        </r>
        <r>
          <rPr>
            <sz val="9"/>
            <rFont val="Tahoma"/>
            <charset val="134"/>
          </rPr>
          <t>The converstion seems to be: *144*60*60*3.1525/1000 and the conversion between Btu/ft^2 h to W/m^2 = 3.1525</t>
        </r>
      </text>
    </comment>
    <comment ref="B29" authorId="0">
      <text>
        <r>
          <rPr>
            <b/>
            <sz val="9"/>
            <rFont val="Tahoma"/>
            <charset val="134"/>
          </rPr>
          <t>Graham.Sortino:</t>
        </r>
        <r>
          <rPr>
            <sz val="9"/>
            <rFont val="Tahoma"/>
            <charset val="134"/>
          </rPr>
          <t xml:space="preserve">
</t>
        </r>
        <r>
          <rPr>
            <sz val="9"/>
            <rFont val="Tahoma"/>
            <charset val="134"/>
          </rPr>
          <t>From Equation 3-30</t>
        </r>
      </text>
    </comment>
    <comment ref="H29" authorId="0">
      <text>
        <r>
          <rPr>
            <b/>
            <sz val="9"/>
            <rFont val="Tahoma"/>
            <charset val="134"/>
          </rPr>
          <t>Graham.Sortino:</t>
        </r>
        <r>
          <rPr>
            <sz val="9"/>
            <rFont val="Tahoma"/>
            <charset val="134"/>
          </rPr>
          <t xml:space="preserve">
</t>
        </r>
        <r>
          <rPr>
            <sz val="9"/>
            <rFont val="Tahoma"/>
            <charset val="134"/>
          </rPr>
          <t xml:space="preserve">Throat value Calculated from Formula 4-10-a (Huzel) p85.
</t>
        </r>
        <r>
          <rPr>
            <sz val="9"/>
            <rFont val="Tahoma"/>
            <charset val="134"/>
          </rPr>
          <t xml:space="preserve">
</t>
        </r>
        <r>
          <rPr>
            <sz val="9"/>
            <rFont val="Tahoma"/>
            <charset val="134"/>
          </rPr>
          <t xml:space="preserve">Chamber and Exit Values taken from © Robert Watzlavick (rocket@watzlavick.com) Rocket Design Spreadsheet.
</t>
        </r>
      </text>
    </comment>
    <comment ref="B30" authorId="1">
      <text>
        <r>
          <rPr>
            <b/>
            <sz val="8"/>
            <rFont val="Tahoma"/>
            <charset val="134"/>
          </rPr>
          <t>Graham:</t>
        </r>
        <r>
          <rPr>
            <sz val="8"/>
            <rFont val="Tahoma"/>
            <charset val="134"/>
          </rPr>
          <t xml:space="preserve">
</t>
        </r>
        <r>
          <rPr>
            <sz val="8"/>
            <rFont val="Tahoma"/>
            <charset val="134"/>
          </rPr>
          <t xml:space="preserve">see table 3-2 (p75). This should be 4 to prevent losses.
</t>
        </r>
        <r>
          <rPr>
            <sz val="8"/>
            <rFont val="Tahoma"/>
            <charset val="134"/>
          </rPr>
          <t xml:space="preserve">
</t>
        </r>
        <r>
          <rPr>
            <sz val="8"/>
            <rFont val="Tahoma"/>
            <charset val="134"/>
          </rPr>
          <t>Additional info in formula 8-8 (p286)</t>
        </r>
      </text>
    </comment>
    <comment ref="H30" authorId="0">
      <text>
        <r>
          <rPr>
            <b/>
            <sz val="9"/>
            <rFont val="Tahoma"/>
            <charset val="134"/>
          </rPr>
          <t>Graham.Sortino:</t>
        </r>
        <r>
          <rPr>
            <sz val="9"/>
            <rFont val="Tahoma"/>
            <charset val="134"/>
          </rPr>
          <t xml:space="preserve">
</t>
        </r>
        <r>
          <rPr>
            <sz val="9"/>
            <rFont val="Tahoma"/>
            <charset val="134"/>
          </rPr>
          <t xml:space="preserve">Throat value Calculated from Formula 4-10-a (Huzel) p85.
</t>
        </r>
        <r>
          <rPr>
            <sz val="9"/>
            <rFont val="Tahoma"/>
            <charset val="134"/>
          </rPr>
          <t xml:space="preserve">
</t>
        </r>
        <r>
          <rPr>
            <sz val="9"/>
            <rFont val="Tahoma"/>
            <charset val="134"/>
          </rPr>
          <t xml:space="preserve">Chamber and Exit Values taken from © Robert Watzlavick (rocket@watzlavick.com) Rocket Design Spreadsheet.
</t>
        </r>
      </text>
    </comment>
    <comment ref="B31" authorId="0">
      <text>
        <r>
          <rPr>
            <b/>
            <sz val="8"/>
            <rFont val="Tahoma"/>
            <charset val="134"/>
          </rPr>
          <t>Graham.Sortino:</t>
        </r>
        <r>
          <rPr>
            <sz val="8"/>
            <rFont val="Tahoma"/>
            <charset val="134"/>
          </rPr>
          <t xml:space="preserve">
</t>
        </r>
        <r>
          <rPr>
            <sz val="8"/>
            <rFont val="Tahoma"/>
            <charset val="134"/>
          </rPr>
          <t>Calculated from Chamber Contraction Ration and Throat Area</t>
        </r>
      </text>
    </comment>
    <comment ref="H31" authorId="0">
      <text>
        <r>
          <rPr>
            <b/>
            <sz val="9"/>
            <rFont val="Tahoma"/>
            <charset val="134"/>
          </rPr>
          <t>Graham.Sortino:</t>
        </r>
        <r>
          <rPr>
            <sz val="9"/>
            <rFont val="Tahoma"/>
            <charset val="134"/>
          </rPr>
          <t xml:space="preserve">
</t>
        </r>
        <r>
          <rPr>
            <sz val="9"/>
            <rFont val="Tahoma"/>
            <charset val="134"/>
          </rPr>
          <t xml:space="preserve">equation 4-10 (Huzel) p85
</t>
        </r>
      </text>
    </comment>
    <comment ref="L32" authorId="2">
      <text>
        <r>
          <rPr>
            <b/>
            <sz val="9"/>
            <rFont val="Tahoma"/>
            <charset val="134"/>
          </rPr>
          <t>asd2323r:</t>
        </r>
        <r>
          <rPr>
            <sz val="9"/>
            <rFont val="Tahoma"/>
            <charset val="134"/>
          </rPr>
          <t xml:space="preserve">
</t>
        </r>
        <r>
          <rPr>
            <sz val="9"/>
            <rFont val="Tahoma"/>
            <charset val="134"/>
          </rPr>
          <t>I am very much un-clear on this conversion factor so be careful when using these SI values.</t>
        </r>
      </text>
    </comment>
    <comment ref="E33" authorId="0">
      <text>
        <r>
          <rPr>
            <b/>
            <sz val="8"/>
            <rFont val="Tahoma"/>
            <charset val="134"/>
          </rPr>
          <t>Graham.Sortino:</t>
        </r>
        <r>
          <rPr>
            <sz val="8"/>
            <rFont val="Tahoma"/>
            <charset val="134"/>
          </rPr>
          <t xml:space="preserve">
</t>
        </r>
        <r>
          <rPr>
            <sz val="8"/>
            <rFont val="Tahoma"/>
            <charset val="134"/>
          </rPr>
          <t xml:space="preserve">**ONLY FILL THIS OUT IF FUEL IS GASEOUS. OTHERWISE LEAVE BLANK** 
</t>
        </r>
        <r>
          <rPr>
            <sz val="8"/>
            <rFont val="Tahoma"/>
            <charset val="134"/>
          </rPr>
          <t xml:space="preserve">
</t>
        </r>
        <r>
          <rPr>
            <sz val="8"/>
            <rFont val="Tahoma"/>
            <charset val="134"/>
          </rPr>
          <t xml:space="preserve">see page 184 (table 5-5) for a list of specific heats for various propellants.
</t>
        </r>
        <r>
          <rPr>
            <sz val="8"/>
            <rFont val="Tahoma"/>
            <charset val="134"/>
          </rPr>
          <t xml:space="preserve">N.B.  1.24 is typically used for O2/RP-1
</t>
        </r>
        <r>
          <rPr>
            <sz val="8"/>
            <rFont val="Tahoma"/>
            <charset val="134"/>
          </rPr>
          <t xml:space="preserve">
</t>
        </r>
        <r>
          <rPr>
            <sz val="8"/>
            <rFont val="Tahoma"/>
            <charset val="134"/>
          </rPr>
          <t xml:space="preserve">Specific Heat Ratio k = Specific Heat at Constat Pressure / Specific Heat at Constant Volume
</t>
        </r>
        <r>
          <rPr>
            <sz val="8"/>
            <rFont val="Tahoma"/>
            <charset val="134"/>
          </rPr>
          <t xml:space="preserve">
</t>
        </r>
        <r>
          <rPr>
            <sz val="8"/>
            <rFont val="Tahoma"/>
            <charset val="134"/>
          </rPr>
          <t>see equation (3-5a) page 50.</t>
        </r>
      </text>
    </comment>
    <comment ref="H33" authorId="0">
      <text>
        <r>
          <rPr>
            <b/>
            <sz val="9"/>
            <rFont val="Tahoma"/>
            <charset val="134"/>
          </rPr>
          <t>Graham.Sortino:</t>
        </r>
        <r>
          <rPr>
            <sz val="9"/>
            <rFont val="Tahoma"/>
            <charset val="134"/>
          </rPr>
          <t xml:space="preserve">
</t>
        </r>
        <r>
          <rPr>
            <sz val="9"/>
            <rFont val="Tahoma"/>
            <charset val="134"/>
          </rPr>
          <t>Reballancing right side of 4-19 (Huzel) p89 to solve for Twc</t>
        </r>
      </text>
    </comment>
    <comment ref="E34" authorId="0">
      <text>
        <r>
          <rPr>
            <b/>
            <sz val="8"/>
            <rFont val="Tahoma"/>
            <charset val="134"/>
          </rPr>
          <t>Graham.Sortino:</t>
        </r>
        <r>
          <rPr>
            <sz val="8"/>
            <rFont val="Tahoma"/>
            <charset val="134"/>
          </rPr>
          <t xml:space="preserve">
</t>
        </r>
        <r>
          <rPr>
            <sz val="8"/>
            <rFont val="Tahoma"/>
            <charset val="134"/>
          </rPr>
          <t xml:space="preserve">**ONLY FILL THIS OUT IF OXIDIZER IS GASEOUS. OTHERWISE LEAVE BLANK** 
</t>
        </r>
        <r>
          <rPr>
            <sz val="8"/>
            <rFont val="Tahoma"/>
            <charset val="134"/>
          </rPr>
          <t xml:space="preserve">
</t>
        </r>
        <r>
          <rPr>
            <sz val="8"/>
            <rFont val="Tahoma"/>
            <charset val="134"/>
          </rPr>
          <t xml:space="preserve">see page 184 (table 5-5) for a list of specific heats for various propellants.
</t>
        </r>
        <r>
          <rPr>
            <sz val="8"/>
            <rFont val="Tahoma"/>
            <charset val="134"/>
          </rPr>
          <t xml:space="preserve">N.B.  1.24 is typically used for O2/RP-1
</t>
        </r>
        <r>
          <rPr>
            <sz val="8"/>
            <rFont val="Tahoma"/>
            <charset val="134"/>
          </rPr>
          <t xml:space="preserve">
</t>
        </r>
        <r>
          <rPr>
            <sz val="8"/>
            <rFont val="Tahoma"/>
            <charset val="134"/>
          </rPr>
          <t xml:space="preserve">Specific Heat Ratio k = Specific Heat at Constat Pressure / Specific Heat at Constant Volume
</t>
        </r>
        <r>
          <rPr>
            <sz val="8"/>
            <rFont val="Tahoma"/>
            <charset val="134"/>
          </rPr>
          <t xml:space="preserve">
</t>
        </r>
        <r>
          <rPr>
            <sz val="8"/>
            <rFont val="Tahoma"/>
            <charset val="134"/>
          </rPr>
          <t>see equation (3-5a) page 50.</t>
        </r>
      </text>
    </comment>
    <comment ref="B35" authorId="0">
      <text>
        <r>
          <rPr>
            <b/>
            <sz val="9"/>
            <rFont val="Tahoma"/>
            <charset val="134"/>
          </rPr>
          <t>Graham.Sortino:</t>
        </r>
        <r>
          <rPr>
            <sz val="9"/>
            <rFont val="Tahoma"/>
            <charset val="134"/>
          </rPr>
          <t xml:space="preserve">
</t>
        </r>
        <r>
          <rPr>
            <sz val="9"/>
            <rFont val="Tahoma"/>
            <charset val="134"/>
          </rPr>
          <t xml:space="preserve">this value is user defined (for now at least). It's not terribly important but it should be long enough to ensure full mixing of propellants. A longer chamber spreads heat more evenly across walls but also adds to weight.
</t>
        </r>
        <r>
          <rPr>
            <sz val="9"/>
            <rFont val="Tahoma"/>
            <charset val="134"/>
          </rPr>
          <t>See section 8.2 for more details (p285)</t>
        </r>
      </text>
    </comment>
    <comment ref="E35" authorId="0">
      <text>
        <r>
          <rPr>
            <b/>
            <sz val="9"/>
            <rFont val="Tahoma"/>
            <charset val="134"/>
          </rPr>
          <t>Graham.Sortino:</t>
        </r>
        <r>
          <rPr>
            <sz val="9"/>
            <rFont val="Tahoma"/>
            <charset val="134"/>
          </rPr>
          <t xml:space="preserve">
</t>
        </r>
        <r>
          <rPr>
            <sz val="9"/>
            <rFont val="Tahoma"/>
            <charset val="134"/>
          </rPr>
          <t xml:space="preserve">*ONLY FILL THIS OUT IF FUEL IS GASSEOUS. OTHERWISE LEAVE BLANK*
</t>
        </r>
        <r>
          <rPr>
            <sz val="9"/>
            <rFont val="Tahoma"/>
            <charset val="134"/>
          </rPr>
          <t xml:space="preserve">
</t>
        </r>
        <r>
          <rPr>
            <sz val="9"/>
            <rFont val="Tahoma"/>
            <charset val="134"/>
          </rPr>
          <t xml:space="preserve">The compressibility factor (Z), also known as the compression factor, is a useful thermodynamic property for modifying the ideal gas law to account for the real gas behavior.
</t>
        </r>
        <r>
          <rPr>
            <sz val="9"/>
            <rFont val="Tahoma"/>
            <charset val="134"/>
          </rPr>
          <t xml:space="preserve">
</t>
        </r>
        <r>
          <rPr>
            <sz val="9"/>
            <rFont val="Tahoma"/>
            <charset val="134"/>
          </rPr>
          <t xml:space="preserve">For empirical values for air see: http://en.wikipedia.org/wiki/Compressibility_factor#Compressibility_of_air
</t>
        </r>
        <r>
          <rPr>
            <sz val="9"/>
            <rFont val="Tahoma"/>
            <charset val="134"/>
          </rPr>
          <t xml:space="preserve">
</t>
        </r>
        <r>
          <rPr>
            <sz val="9"/>
            <rFont val="Tahoma"/>
            <charset val="134"/>
          </rPr>
          <t>For a complex calculator see: http://www.ceb.cam.ac.uk/thermo/pure.html</t>
        </r>
      </text>
    </comment>
    <comment ref="E36" authorId="0">
      <text>
        <r>
          <rPr>
            <b/>
            <sz val="9"/>
            <rFont val="Tahoma"/>
            <charset val="134"/>
          </rPr>
          <t>Graham.Sortino:</t>
        </r>
        <r>
          <rPr>
            <sz val="9"/>
            <rFont val="Tahoma"/>
            <charset val="134"/>
          </rPr>
          <t xml:space="preserve">
</t>
        </r>
        <r>
          <rPr>
            <sz val="9"/>
            <rFont val="Tahoma"/>
            <charset val="134"/>
          </rPr>
          <t xml:space="preserve">*ONLY FILL THIS OUT IF OXIDIZER IS GASSEOUS. OTHERWISE LEAVE BLANK*
</t>
        </r>
        <r>
          <rPr>
            <sz val="9"/>
            <rFont val="Tahoma"/>
            <charset val="134"/>
          </rPr>
          <t xml:space="preserve">
</t>
        </r>
        <r>
          <rPr>
            <sz val="9"/>
            <rFont val="Tahoma"/>
            <charset val="134"/>
          </rPr>
          <t xml:space="preserve">
</t>
        </r>
        <r>
          <rPr>
            <sz val="9"/>
            <rFont val="Tahoma"/>
            <charset val="134"/>
          </rPr>
          <t xml:space="preserve">The compressibility factor (Z), also known as the compression factor, is a useful thermodynamic property for modifying the ideal gas law to account for the real gas behavior.
</t>
        </r>
        <r>
          <rPr>
            <sz val="9"/>
            <rFont val="Tahoma"/>
            <charset val="134"/>
          </rPr>
          <t xml:space="preserve">
</t>
        </r>
        <r>
          <rPr>
            <sz val="9"/>
            <rFont val="Tahoma"/>
            <charset val="134"/>
          </rPr>
          <t xml:space="preserve">For empirical values for air see: http://en.wikipedia.org/wiki/Compressibility_factor#Compressibility_of_air
</t>
        </r>
        <r>
          <rPr>
            <sz val="9"/>
            <rFont val="Tahoma"/>
            <charset val="134"/>
          </rPr>
          <t xml:space="preserve">
</t>
        </r>
        <r>
          <rPr>
            <sz val="9"/>
            <rFont val="Tahoma"/>
            <charset val="134"/>
          </rPr>
          <t>For a complex calculator see: http://www.ceb.cam.ac.uk/thermo/pure.html</t>
        </r>
      </text>
    </comment>
    <comment ref="B37" authorId="1">
      <text>
        <r>
          <rPr>
            <b/>
            <sz val="8"/>
            <rFont val="Tahoma"/>
            <charset val="134"/>
          </rPr>
          <t>Graham:</t>
        </r>
        <r>
          <rPr>
            <sz val="8"/>
            <rFont val="Tahoma"/>
            <charset val="134"/>
          </rPr>
          <t xml:space="preserve">
</t>
        </r>
        <r>
          <rPr>
            <sz val="8"/>
            <rFont val="Tahoma"/>
            <charset val="134"/>
          </rPr>
          <t xml:space="preserve">simmilar to the diverging angle this is used to calculate the conical fostrum length of the divergent section. I haven't found much data indicating this is an important parameter so I've left it the same as the divergent angle.
</t>
        </r>
        <r>
          <rPr>
            <sz val="8"/>
            <rFont val="Tahoma"/>
            <charset val="134"/>
          </rPr>
          <t xml:space="preserve">
</t>
        </r>
        <r>
          <rPr>
            <sz val="8"/>
            <rFont val="Tahoma"/>
            <charset val="134"/>
          </rPr>
          <t>See top of p286 for a further discussion</t>
        </r>
      </text>
    </comment>
    <comment ref="H37" authorId="2">
      <text>
        <r>
          <rPr>
            <b/>
            <sz val="9"/>
            <rFont val="Tahoma"/>
            <charset val="134"/>
          </rPr>
          <t>asd2323r:</t>
        </r>
        <r>
          <rPr>
            <sz val="9"/>
            <rFont val="Tahoma"/>
            <charset val="134"/>
          </rPr>
          <t xml:space="preserve">
</t>
        </r>
        <r>
          <rPr>
            <sz val="9"/>
            <rFont val="Tahoma"/>
            <charset val="134"/>
          </rPr>
          <t>Matt aproximation taken from © Robert Watzlavick (rocket@watzlavick.com) computation spreadsheet.</t>
        </r>
      </text>
    </comment>
    <comment ref="B38" authorId="0">
      <text>
        <r>
          <rPr>
            <b/>
            <sz val="9"/>
            <rFont val="Tahoma"/>
            <charset val="134"/>
          </rPr>
          <t>Graham.Sortino:</t>
        </r>
        <r>
          <rPr>
            <sz val="9"/>
            <rFont val="Tahoma"/>
            <charset val="134"/>
          </rPr>
          <t xml:space="preserve">
</t>
        </r>
        <r>
          <rPr>
            <sz val="9"/>
            <rFont val="Tahoma"/>
            <charset val="134"/>
          </rPr>
          <t xml:space="preserve">equation 8-8 p286
</t>
        </r>
      </text>
    </comment>
    <comment ref="H39" authorId="0">
      <text>
        <r>
          <rPr>
            <b/>
            <sz val="9"/>
            <rFont val="Tahoma"/>
            <charset val="134"/>
          </rPr>
          <t>Graham.Sortino:</t>
        </r>
        <r>
          <rPr>
            <sz val="9"/>
            <rFont val="Tahoma"/>
            <charset val="134"/>
          </rPr>
          <t xml:space="preserve">
</t>
        </r>
        <r>
          <rPr>
            <sz val="9"/>
            <rFont val="Tahoma"/>
            <charset val="134"/>
          </rPr>
          <t xml:space="preserve">taken from sample calc 4-4 (b) Huzel p94. I still don't fully understand how this calculation derives it's result so I may need to play with it a bit more. Especially where does that .8 come from???
</t>
        </r>
        <r>
          <rPr>
            <sz val="9"/>
            <rFont val="Tahoma"/>
            <charset val="134"/>
          </rPr>
          <t xml:space="preserve">
</t>
        </r>
        <r>
          <rPr>
            <sz val="9"/>
            <rFont val="Tahoma"/>
            <charset val="134"/>
          </rPr>
          <t>Obviously this number will need to be rounded to a whole number and it will depend significantly on the manufacturing process.</t>
        </r>
      </text>
    </comment>
    <comment ref="B40" authorId="0">
      <text>
        <r>
          <rPr>
            <b/>
            <sz val="9"/>
            <rFont val="Tahoma"/>
            <charset val="134"/>
          </rPr>
          <t>Graham.Sortino:</t>
        </r>
        <r>
          <rPr>
            <sz val="9"/>
            <rFont val="Tahoma"/>
            <charset val="134"/>
          </rPr>
          <t xml:space="preserve">
</t>
        </r>
        <r>
          <rPr>
            <sz val="9"/>
            <rFont val="Tahoma"/>
            <charset val="134"/>
          </rPr>
          <t>calculated from nozzle length and convergence half angle using basic trig: cos(alpha) = Adj / Hyp</t>
        </r>
      </text>
    </comment>
    <comment ref="H40" authorId="0">
      <text>
        <r>
          <rPr>
            <b/>
            <sz val="9"/>
            <rFont val="Tahoma"/>
            <charset val="134"/>
          </rPr>
          <t>Graham.Sortino:</t>
        </r>
        <r>
          <rPr>
            <sz val="9"/>
            <rFont val="Tahoma"/>
            <charset val="134"/>
          </rPr>
          <t xml:space="preserve">
</t>
        </r>
        <r>
          <rPr>
            <sz val="9"/>
            <rFont val="Tahoma"/>
            <charset val="134"/>
          </rPr>
          <t>selected based on temperature of coolent when entering coolent jacket for first pass. 520 R is aproximately 60 F.</t>
        </r>
      </text>
    </comment>
    <comment ref="H41" authorId="0">
      <text>
        <r>
          <rPr>
            <b/>
            <sz val="9"/>
            <rFont val="Tahoma"/>
            <charset val="134"/>
          </rPr>
          <t>Graham.Sortino:</t>
        </r>
        <r>
          <rPr>
            <sz val="9"/>
            <rFont val="Tahoma"/>
            <charset val="134"/>
          </rPr>
          <t xml:space="preserve">
</t>
        </r>
        <r>
          <rPr>
            <sz val="9"/>
            <rFont val="Tahoma"/>
            <charset val="134"/>
          </rPr>
          <t>Critical temperature is the value for at which a fluid cannot be turned from a gas to a liquid no matter how much pressure is applied. This value is looked up in a chemical/thermodynamics database.</t>
        </r>
      </text>
    </comment>
    <comment ref="B42" authorId="0">
      <text>
        <r>
          <rPr>
            <b/>
            <sz val="9"/>
            <rFont val="Tahoma"/>
            <charset val="134"/>
          </rPr>
          <t>Graham.Sortino:</t>
        </r>
        <r>
          <rPr>
            <sz val="9"/>
            <rFont val="Tahoma"/>
            <charset val="134"/>
          </rPr>
          <t xml:space="preserve">
</t>
        </r>
        <r>
          <rPr>
            <sz val="9"/>
            <rFont val="Tahoma"/>
            <charset val="134"/>
          </rPr>
          <t xml:space="preserve">equation 8-8 p286
</t>
        </r>
        <r>
          <rPr>
            <sz val="9"/>
            <rFont val="Tahoma"/>
            <charset val="134"/>
          </rPr>
          <t>defined as the volume from the injector up to the throat</t>
        </r>
      </text>
    </comment>
    <comment ref="H42" authorId="0">
      <text>
        <r>
          <rPr>
            <b/>
            <sz val="9"/>
            <rFont val="Tahoma"/>
            <charset val="134"/>
          </rPr>
          <t>Graham.Sortino:</t>
        </r>
        <r>
          <rPr>
            <sz val="9"/>
            <rFont val="Tahoma"/>
            <charset val="134"/>
          </rPr>
          <t xml:space="preserve">
</t>
        </r>
        <r>
          <rPr>
            <sz val="9"/>
            <rFont val="Tahoma"/>
            <charset val="134"/>
          </rPr>
          <t>experimental. Based on fluid properties. This assumes the fuel is the coolent but it could be changed if needed.</t>
        </r>
      </text>
    </comment>
    <comment ref="E43" authorId="2">
      <text>
        <r>
          <rPr>
            <b/>
            <sz val="9"/>
            <rFont val="Tahoma"/>
            <charset val="134"/>
          </rPr>
          <t>asd2323r:</t>
        </r>
        <r>
          <rPr>
            <sz val="9"/>
            <rFont val="Tahoma"/>
            <charset val="134"/>
          </rPr>
          <t xml:space="preserve">
</t>
        </r>
        <r>
          <rPr>
            <sz val="9"/>
            <rFont val="Tahoma"/>
            <charset val="134"/>
          </rPr>
          <t>this is the minimum value that choked flow will occur at. Above this value flow is non-choked.</t>
        </r>
      </text>
    </comment>
    <comment ref="H43" authorId="0">
      <text>
        <r>
          <rPr>
            <b/>
            <sz val="9"/>
            <rFont val="Tahoma"/>
            <charset val="134"/>
          </rPr>
          <t>Graham.Sortino:</t>
        </r>
        <r>
          <rPr>
            <sz val="9"/>
            <rFont val="Tahoma"/>
            <charset val="134"/>
          </rPr>
          <t xml:space="preserve">
</t>
        </r>
        <r>
          <rPr>
            <sz val="9"/>
            <rFont val="Tahoma"/>
            <charset val="134"/>
          </rPr>
          <t>constant C1 (different values for various propellants). I need to figure out what this is and where to get these values.</t>
        </r>
      </text>
    </comment>
    <comment ref="B44" authorId="0">
      <text>
        <r>
          <rPr>
            <b/>
            <sz val="9"/>
            <rFont val="Tahoma"/>
            <charset val="134"/>
          </rPr>
          <t>Graham.Sortino:</t>
        </r>
        <r>
          <rPr>
            <sz val="9"/>
            <rFont val="Tahoma"/>
            <charset val="134"/>
          </rPr>
          <t xml:space="preserve">
</t>
        </r>
        <r>
          <rPr>
            <sz val="9"/>
            <rFont val="Tahoma"/>
            <charset val="134"/>
          </rPr>
          <t>Characteristic Length (Pronounced cee-star). Equation 8-9 on p287. Typical values are between .8 and 3.0 for many bipropellants.</t>
        </r>
      </text>
    </comment>
    <comment ref="H44" authorId="0">
      <text>
        <r>
          <rPr>
            <b/>
            <sz val="9"/>
            <rFont val="Tahoma"/>
            <charset val="134"/>
          </rPr>
          <t>Graham.Sortino:</t>
        </r>
        <r>
          <rPr>
            <sz val="9"/>
            <rFont val="Tahoma"/>
            <charset val="134"/>
          </rPr>
          <t xml:space="preserve">
</t>
        </r>
        <r>
          <rPr>
            <sz val="9"/>
            <rFont val="Tahoma"/>
            <charset val="134"/>
          </rPr>
          <t xml:space="preserve">this needs experimental data. </t>
        </r>
      </text>
    </comment>
    <comment ref="B45" authorId="0">
      <text>
        <r>
          <rPr>
            <b/>
            <sz val="9"/>
            <rFont val="Tahoma"/>
            <charset val="134"/>
          </rPr>
          <t>Graham.Sortino:</t>
        </r>
        <r>
          <rPr>
            <sz val="9"/>
            <rFont val="Tahoma"/>
            <charset val="134"/>
          </rPr>
          <t xml:space="preserve">
</t>
        </r>
        <r>
          <rPr>
            <sz val="9"/>
            <rFont val="Tahoma"/>
            <charset val="134"/>
          </rPr>
          <t>it is loosely recommended not to choose a value below 20 inches for an igniter.</t>
        </r>
      </text>
    </comment>
    <comment ref="H45" authorId="0">
      <text>
        <r>
          <rPr>
            <b/>
            <sz val="9"/>
            <rFont val="Tahoma"/>
            <charset val="134"/>
          </rPr>
          <t>Graham.Sortino:</t>
        </r>
        <r>
          <rPr>
            <sz val="9"/>
            <rFont val="Tahoma"/>
            <charset val="134"/>
          </rPr>
          <t xml:space="preserve">
</t>
        </r>
        <r>
          <rPr>
            <sz val="9"/>
            <rFont val="Tahoma"/>
            <charset val="134"/>
          </rPr>
          <t xml:space="preserve">this needs experimental data. </t>
        </r>
      </text>
    </comment>
    <comment ref="B46" authorId="0">
      <text>
        <r>
          <rPr>
            <b/>
            <sz val="8"/>
            <rFont val="Tahoma"/>
            <charset val="134"/>
          </rPr>
          <t>Graham.Sortino:</t>
        </r>
        <r>
          <rPr>
            <sz val="8"/>
            <rFont val="Tahoma"/>
            <charset val="134"/>
          </rPr>
          <t xml:space="preserve">
</t>
        </r>
        <r>
          <rPr>
            <sz val="8"/>
            <rFont val="Tahoma"/>
            <charset val="134"/>
          </rPr>
          <t xml:space="preserve">This is equation 3-24 but solving for Throat Area instead of mass flow (see p63 for an example). In order to do this the mass flow rate must already be known, which is usually the case.
</t>
        </r>
        <r>
          <rPr>
            <sz val="8"/>
            <rFont val="Tahoma"/>
            <charset val="134"/>
          </rPr>
          <t xml:space="preserve">
</t>
        </r>
        <r>
          <rPr>
            <sz val="8"/>
            <rFont val="Tahoma"/>
            <charset val="134"/>
          </rPr>
          <t>Nozzle Throat Area is an important property because once it is known along with the nozzle area ratio the actual dimensions of the nozzle may then be calculated.</t>
        </r>
      </text>
    </comment>
    <comment ref="B47" authorId="0">
      <text>
        <r>
          <rPr>
            <b/>
            <sz val="8"/>
            <rFont val="Tahoma"/>
            <charset val="134"/>
          </rPr>
          <t>Graham.Sortino:</t>
        </r>
        <r>
          <rPr>
            <sz val="8"/>
            <rFont val="Tahoma"/>
            <charset val="134"/>
          </rPr>
          <t xml:space="preserve">
</t>
        </r>
        <r>
          <rPr>
            <sz val="8"/>
            <rFont val="Tahoma"/>
            <charset val="134"/>
          </rPr>
          <t xml:space="preserve">This is equation 3-24 but solving for Throat Area instead of mass flow (see p63 for an example). In order to do this the mass flow rate must already be known, which is usually the case.
</t>
        </r>
        <r>
          <rPr>
            <sz val="8"/>
            <rFont val="Tahoma"/>
            <charset val="134"/>
          </rPr>
          <t xml:space="preserve">
</t>
        </r>
        <r>
          <rPr>
            <sz val="8"/>
            <rFont val="Tahoma"/>
            <charset val="134"/>
          </rPr>
          <t>Nozzle Throat Area is an important property because once it is known along with the nozzle area ratio the actual dimensions of the nozzle may then be calculated.</t>
        </r>
      </text>
    </comment>
    <comment ref="E47" authorId="0">
      <text>
        <r>
          <rPr>
            <b/>
            <sz val="9"/>
            <rFont val="Tahoma"/>
            <charset val="134"/>
          </rPr>
          <t>Graham.Sortino:</t>
        </r>
        <r>
          <rPr>
            <sz val="9"/>
            <rFont val="Tahoma"/>
            <charset val="134"/>
          </rPr>
          <t xml:space="preserve">
</t>
        </r>
        <r>
          <rPr>
            <sz val="9"/>
            <rFont val="Tahoma"/>
            <charset val="134"/>
          </rPr>
          <t>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8" authorId="0">
      <text>
        <r>
          <rPr>
            <b/>
            <sz val="9"/>
            <rFont val="Tahoma"/>
            <charset val="134"/>
          </rPr>
          <t>Graham.Sortino:</t>
        </r>
        <r>
          <rPr>
            <sz val="9"/>
            <rFont val="Tahoma"/>
            <charset val="134"/>
          </rPr>
          <t xml:space="preserve">
</t>
        </r>
        <r>
          <rPr>
            <sz val="9"/>
            <rFont val="Tahoma"/>
            <charset val="134"/>
          </rPr>
          <t>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9" authorId="0">
      <text>
        <r>
          <rPr>
            <b/>
            <sz val="9"/>
            <rFont val="Tahoma"/>
            <charset val="134"/>
          </rPr>
          <t>Graham.Sortino:</t>
        </r>
        <r>
          <rPr>
            <sz val="9"/>
            <rFont val="Tahoma"/>
            <charset val="134"/>
          </rPr>
          <t xml:space="preserve">
</t>
        </r>
        <r>
          <rPr>
            <sz val="9"/>
            <rFont val="Tahoma"/>
            <charset val="134"/>
          </rPr>
          <t xml:space="preserve">*ONLY FILL THIS OUT IF FUEL IS GASSEOUS. OTHERWISE LEAVE BLANK*
</t>
        </r>
      </text>
    </comment>
    <comment ref="H49" authorId="0">
      <text>
        <r>
          <rPr>
            <b/>
            <sz val="9"/>
            <rFont val="Tahoma"/>
            <charset val="134"/>
          </rPr>
          <t>Graham.Sortino:</t>
        </r>
        <r>
          <rPr>
            <sz val="9"/>
            <rFont val="Tahoma"/>
            <charset val="134"/>
          </rPr>
          <t xml:space="preserve">
</t>
        </r>
        <r>
          <rPr>
            <sz val="9"/>
            <rFont val="Tahoma"/>
            <charset val="134"/>
          </rPr>
          <t>taken from Huzel 4-26 (p91).  The value of q should be comfortably below Qc inorder for the coolenet to successfully handle the heat flux.</t>
        </r>
      </text>
    </comment>
    <comment ref="S49" authorId="2">
      <text>
        <r>
          <rPr>
            <b/>
            <sz val="9"/>
            <rFont val="Tahoma"/>
            <charset val="134"/>
          </rPr>
          <t>asd2323r:</t>
        </r>
        <r>
          <rPr>
            <sz val="9"/>
            <rFont val="Tahoma"/>
            <charset val="134"/>
          </rPr>
          <t xml:space="preserve">
</t>
        </r>
        <r>
          <rPr>
            <sz val="9"/>
            <rFont val="Tahoma"/>
            <charset val="134"/>
          </rPr>
          <t>this is also very important. It is a balancing of equation (d) from H&amp;H p94</t>
        </r>
      </text>
    </comment>
    <comment ref="B50" authorId="0">
      <text>
        <r>
          <rPr>
            <b/>
            <sz val="9"/>
            <rFont val="Tahoma"/>
            <charset val="134"/>
          </rPr>
          <t>Graham.Sortino:</t>
        </r>
        <r>
          <rPr>
            <sz val="9"/>
            <rFont val="Tahoma"/>
            <charset val="134"/>
          </rPr>
          <t xml:space="preserve">
</t>
        </r>
        <r>
          <rPr>
            <sz val="9"/>
            <rFont val="Tahoma"/>
            <charset val="134"/>
          </rPr>
          <t>this is the length of the nozzle (ie between the convergent and divergent sections. I don't have a lot of data on this so I'm recomending for now to set it the same as Nozzle Radius</t>
        </r>
      </text>
    </comment>
    <comment ref="E50" authorId="0">
      <text>
        <r>
          <rPr>
            <b/>
            <sz val="9"/>
            <rFont val="Tahoma"/>
            <charset val="134"/>
          </rPr>
          <t>Graham.Sortino:</t>
        </r>
        <r>
          <rPr>
            <sz val="9"/>
            <rFont val="Tahoma"/>
            <charset val="134"/>
          </rPr>
          <t xml:space="preserve">
</t>
        </r>
        <r>
          <rPr>
            <sz val="9"/>
            <rFont val="Tahoma"/>
            <charset val="134"/>
          </rPr>
          <t>*ONLY FILL THIS OUT IF OXIDIZER IS GASSEOUS. OTHERWISE LEAVE BLANK*</t>
        </r>
      </text>
    </comment>
    <comment ref="H50" authorId="0">
      <text>
        <r>
          <rPr>
            <b/>
            <sz val="9"/>
            <rFont val="Tahoma"/>
            <charset val="134"/>
          </rPr>
          <t>Graham.Sortino:</t>
        </r>
        <r>
          <rPr>
            <sz val="9"/>
            <rFont val="Tahoma"/>
            <charset val="134"/>
          </rPr>
          <t xml:space="preserve">
</t>
        </r>
        <r>
          <rPr>
            <sz val="9"/>
            <rFont val="Tahoma"/>
            <charset val="134"/>
          </rPr>
          <t>taken from Huzel 4-26 (p91).  The value of q should be comfortably below Qc inorder for the coolenet to successfully handle the heat flux.</t>
        </r>
      </text>
    </comment>
    <comment ref="E51" authorId="0">
      <text>
        <r>
          <rPr>
            <b/>
            <sz val="9"/>
            <rFont val="Tahoma"/>
            <charset val="134"/>
          </rPr>
          <t>Graham.Sortino:</t>
        </r>
        <r>
          <rPr>
            <sz val="9"/>
            <rFont val="Tahoma"/>
            <charset val="134"/>
          </rPr>
          <t xml:space="preserve">
</t>
        </r>
        <r>
          <rPr>
            <sz val="9"/>
            <rFont val="Tahoma"/>
            <charset val="134"/>
          </rPr>
          <t xml:space="preserve">*ONLY FILL THIS OUT IF FUEL IS GASSEOUS. OTHERWISE LEAVE BLANK*
</t>
        </r>
        <r>
          <rPr>
            <sz val="9"/>
            <rFont val="Tahoma"/>
            <charset val="134"/>
          </rPr>
          <t xml:space="preserve">
</t>
        </r>
        <r>
          <rPr>
            <sz val="9"/>
            <rFont val="Tahoma"/>
            <charset val="134"/>
          </rPr>
          <t>60 degrees farenheight (STP imperial units) is 288.705556 kelvin</t>
        </r>
      </text>
    </comment>
    <comment ref="H51" authorId="2">
      <text>
        <r>
          <rPr>
            <b/>
            <sz val="9"/>
            <rFont val="Tahoma"/>
            <charset val="134"/>
          </rPr>
          <t>asd2323r:</t>
        </r>
        <r>
          <rPr>
            <sz val="9"/>
            <rFont val="Tahoma"/>
            <charset val="134"/>
          </rPr>
          <t xml:space="preserve">
</t>
        </r>
        <r>
          <rPr>
            <sz val="9"/>
            <rFont val="Tahoma"/>
            <charset val="134"/>
          </rPr>
          <t>per tube</t>
        </r>
      </text>
    </comment>
    <comment ref="E52" authorId="0">
      <text>
        <r>
          <rPr>
            <b/>
            <sz val="9"/>
            <rFont val="Tahoma"/>
            <charset val="134"/>
          </rPr>
          <t>Graham.Sortino:</t>
        </r>
        <r>
          <rPr>
            <sz val="9"/>
            <rFont val="Tahoma"/>
            <charset val="134"/>
          </rPr>
          <t xml:space="preserve">
</t>
        </r>
        <r>
          <rPr>
            <sz val="9"/>
            <rFont val="Tahoma"/>
            <charset val="134"/>
          </rPr>
          <t xml:space="preserve">*ONLY FILL THIS OUT IF OXIDIZER IS GASSEOUS. OTHERWISE LEAVE BLANK*
</t>
        </r>
        <r>
          <rPr>
            <sz val="9"/>
            <rFont val="Tahoma"/>
            <charset val="134"/>
          </rPr>
          <t xml:space="preserve">
</t>
        </r>
        <r>
          <rPr>
            <sz val="9"/>
            <rFont val="Tahoma"/>
            <charset val="134"/>
          </rPr>
          <t>60 degrees farenheight (STP imperial units) is 288.705556 kelvin</t>
        </r>
      </text>
    </comment>
    <comment ref="E53" authorId="2">
      <text>
        <r>
          <rPr>
            <b/>
            <sz val="9"/>
            <rFont val="Tahoma"/>
            <charset val="134"/>
          </rPr>
          <t>asd2323r:</t>
        </r>
        <r>
          <rPr>
            <sz val="9"/>
            <rFont val="Tahoma"/>
            <charset val="134"/>
          </rPr>
          <t xml:space="preserve">
</t>
        </r>
        <r>
          <rPr>
            <sz val="9"/>
            <rFont val="Tahoma"/>
            <charset val="134"/>
          </rPr>
          <t xml:space="preserve">3 different equations are used depending on the type of flow:
</t>
        </r>
        <r>
          <rPr>
            <sz val="9"/>
            <rFont val="Tahoma"/>
            <charset val="134"/>
          </rPr>
          <t xml:space="preserve">(1) incompressible
</t>
        </r>
        <r>
          <rPr>
            <sz val="9"/>
            <rFont val="Tahoma"/>
            <charset val="134"/>
          </rPr>
          <t xml:space="preserve">(2) compressible choked
</t>
        </r>
        <r>
          <rPr>
            <sz val="9"/>
            <rFont val="Tahoma"/>
            <charset val="134"/>
          </rPr>
          <t>(3) compressible non-choked</t>
        </r>
      </text>
    </comment>
    <comment ref="H53" authorId="2">
      <text>
        <r>
          <rPr>
            <b/>
            <sz val="9"/>
            <rFont val="Tahoma"/>
            <charset val="134"/>
          </rPr>
          <t>asd2323r:</t>
        </r>
        <r>
          <rPr>
            <sz val="9"/>
            <rFont val="Tahoma"/>
            <charset val="134"/>
          </rPr>
          <t xml:space="preserve">
</t>
        </r>
        <r>
          <rPr>
            <sz val="9"/>
            <rFont val="Tahoma"/>
            <charset val="134"/>
          </rPr>
          <t xml:space="preserve">I used to use this function from H&amp;H: =((F25*2.20462)*4)/(PI()*I23*I20^2*(I26/1728))/12
</t>
        </r>
        <r>
          <rPr>
            <sz val="9"/>
            <rFont val="Tahoma"/>
            <charset val="134"/>
          </rPr>
          <t xml:space="preserve">
</t>
        </r>
        <r>
          <rPr>
            <sz val="9"/>
            <rFont val="Tahoma"/>
            <charset val="134"/>
          </rPr>
          <t>but I've since replaced it with a simple flow rate / area function</t>
        </r>
      </text>
    </comment>
    <comment ref="N53" authorId="2">
      <text>
        <r>
          <rPr>
            <b/>
            <sz val="9"/>
            <rFont val="Tahoma"/>
            <charset val="134"/>
          </rPr>
          <t>asd2323r:</t>
        </r>
        <r>
          <rPr>
            <sz val="9"/>
            <rFont val="Tahoma"/>
            <charset val="134"/>
          </rPr>
          <t xml:space="preserve">
</t>
        </r>
        <r>
          <rPr>
            <sz val="9"/>
            <rFont val="Tahoma"/>
            <charset val="134"/>
          </rPr>
          <t>this is the partial solution (d)  on p94 of H&amp;H. do Not delete.</t>
        </r>
      </text>
    </comment>
    <comment ref="H54" authorId="2">
      <text>
        <r>
          <rPr>
            <b/>
            <sz val="9"/>
            <rFont val="Tahoma"/>
            <charset val="134"/>
          </rPr>
          <t>asd2323r:</t>
        </r>
        <r>
          <rPr>
            <sz val="9"/>
            <rFont val="Tahoma"/>
            <charset val="134"/>
          </rPr>
          <t xml:space="preserve">
</t>
        </r>
        <r>
          <rPr>
            <sz val="9"/>
            <rFont val="Tahoma"/>
            <charset val="134"/>
          </rPr>
          <t>this is simply flow-rate/area</t>
        </r>
      </text>
    </comment>
    <comment ref="H55" authorId="0">
      <text>
        <r>
          <rPr>
            <b/>
            <sz val="9"/>
            <rFont val="Tahoma"/>
            <charset val="134"/>
          </rPr>
          <t>Graham.Sortino:</t>
        </r>
        <r>
          <rPr>
            <sz val="9"/>
            <rFont val="Tahoma"/>
            <charset val="134"/>
          </rPr>
          <t xml:space="preserve">
</t>
        </r>
        <r>
          <rPr>
            <sz val="9"/>
            <rFont val="Tahoma"/>
            <charset val="134"/>
          </rPr>
          <t>taken from Huzel 4-26 (p91).  The value of q should be comfortably below Qc inorder for the coolenet to successfully handle the heat flux.</t>
        </r>
      </text>
    </comment>
    <comment ref="B56" authorId="1">
      <text>
        <r>
          <rPr>
            <b/>
            <sz val="8"/>
            <rFont val="Tahoma"/>
            <charset val="134"/>
          </rPr>
          <t>Graham:</t>
        </r>
        <r>
          <rPr>
            <sz val="8"/>
            <rFont val="Tahoma"/>
            <charset val="134"/>
          </rPr>
          <t xml:space="preserve">
</t>
        </r>
        <r>
          <rPr>
            <sz val="8"/>
            <rFont val="Tahoma"/>
            <charset val="134"/>
          </rPr>
          <t xml:space="preserve">Used to calculate the effective percentage loss in Ideal Velocity due to drag forces. Typical Values are between 5 and 10%. 
</t>
        </r>
        <r>
          <rPr>
            <sz val="8"/>
            <rFont val="Tahoma"/>
            <charset val="134"/>
          </rPr>
          <t xml:space="preserve">
</t>
        </r>
        <r>
          <rPr>
            <sz val="8"/>
            <rFont val="Tahoma"/>
            <charset val="134"/>
          </rPr>
          <t>See bottom of page 108 for more details.</t>
        </r>
      </text>
    </comment>
    <comment ref="B57" authorId="0">
      <text>
        <r>
          <rPr>
            <b/>
            <sz val="9"/>
            <rFont val="Tahoma"/>
            <charset val="134"/>
          </rPr>
          <t>Graham.Sortino:</t>
        </r>
        <r>
          <rPr>
            <sz val="9"/>
            <rFont val="Tahoma"/>
            <charset val="134"/>
          </rPr>
          <t xml:space="preserve">
</t>
        </r>
        <r>
          <rPr>
            <sz val="9"/>
            <rFont val="Tahoma"/>
            <charset val="134"/>
          </rPr>
          <t xml:space="preserve">Calculated from Fig 3-14 (p80)
</t>
        </r>
        <r>
          <rPr>
            <sz val="9"/>
            <rFont val="Tahoma"/>
            <charset val="134"/>
          </rPr>
          <t xml:space="preserve">
</t>
        </r>
        <r>
          <rPr>
            <sz val="9"/>
            <rFont val="Tahoma"/>
            <charset val="134"/>
          </rPr>
          <t>Lcone = (r2 - rt) / tan(alpha)</t>
        </r>
      </text>
    </comment>
    <comment ref="E57" authorId="2">
      <text>
        <r>
          <rPr>
            <b/>
            <sz val="9"/>
            <rFont val="Tahoma"/>
            <charset val="134"/>
          </rPr>
          <t>asd2323r:</t>
        </r>
        <r>
          <rPr>
            <sz val="9"/>
            <rFont val="Tahoma"/>
            <charset val="134"/>
          </rPr>
          <t xml:space="preserve">
</t>
        </r>
        <r>
          <rPr>
            <sz val="9"/>
            <rFont val="Tahoma"/>
            <charset val="134"/>
          </rPr>
          <t xml:space="preserve">3 different equations are used depending on the type of flow:
</t>
        </r>
        <r>
          <rPr>
            <sz val="9"/>
            <rFont val="Tahoma"/>
            <charset val="134"/>
          </rPr>
          <t xml:space="preserve">(1) incompressible
</t>
        </r>
        <r>
          <rPr>
            <sz val="9"/>
            <rFont val="Tahoma"/>
            <charset val="134"/>
          </rPr>
          <t xml:space="preserve">(2) compressible choked
</t>
        </r>
        <r>
          <rPr>
            <sz val="9"/>
            <rFont val="Tahoma"/>
            <charset val="134"/>
          </rPr>
          <t>(3) compressible non-choked</t>
        </r>
      </text>
    </comment>
    <comment ref="H57" authorId="0">
      <text>
        <r>
          <rPr>
            <b/>
            <sz val="9"/>
            <rFont val="Tahoma"/>
            <charset val="134"/>
          </rPr>
          <t>Graham.Sortino:</t>
        </r>
        <r>
          <rPr>
            <sz val="9"/>
            <rFont val="Tahoma"/>
            <charset val="134"/>
          </rPr>
          <t xml:space="preserve">
</t>
        </r>
        <r>
          <rPr>
            <sz val="9"/>
            <rFont val="Tahoma"/>
            <charset val="134"/>
          </rPr>
          <t>Matt aproximation taken from © Robert Watzlavick (rocket@watzlavick.com) computation spreadsheet.</t>
        </r>
      </text>
    </comment>
    <comment ref="B59" authorId="0">
      <text>
        <r>
          <rPr>
            <b/>
            <sz val="9"/>
            <rFont val="Tahoma"/>
            <charset val="134"/>
          </rPr>
          <t>Graham.Sortino:</t>
        </r>
        <r>
          <rPr>
            <sz val="9"/>
            <rFont val="Tahoma"/>
            <charset val="134"/>
          </rPr>
          <t xml:space="preserve">
</t>
        </r>
        <r>
          <rPr>
            <sz val="9"/>
            <rFont val="Tahoma"/>
            <charset val="134"/>
          </rPr>
          <t>calculated from nozzle length and divergence half angle using basic trig: cos(alpha) = Adj / Hyp</t>
        </r>
      </text>
    </comment>
    <comment ref="B61" authorId="0">
      <text>
        <r>
          <rPr>
            <b/>
            <sz val="8"/>
            <rFont val="Tahoma"/>
            <charset val="134"/>
          </rPr>
          <t>Graham.Sortino:</t>
        </r>
        <r>
          <rPr>
            <sz val="8"/>
            <rFont val="Tahoma"/>
            <charset val="134"/>
          </rPr>
          <t xml:space="preserve">
</t>
        </r>
        <r>
          <rPr>
            <sz val="8"/>
            <rFont val="Tahoma"/>
            <charset val="134"/>
          </rPr>
          <t>currently this is just a user defined number but eventually we could get more sophisticated with materials and heat distribution, etc...</t>
        </r>
      </text>
    </comment>
  </commentList>
</comments>
</file>

<file path=xl/comments2.xml><?xml version="1.0" encoding="utf-8"?>
<comments xmlns="http://schemas.openxmlformats.org/spreadsheetml/2006/main">
  <authors>
    <author>asd2323r</author>
  </authors>
  <commentList>
    <comment ref="B7" authorId="0">
      <text>
        <r>
          <rPr>
            <b/>
            <sz val="9"/>
            <rFont val="Tahoma"/>
            <charset val="134"/>
          </rPr>
          <t>asd2323r:</t>
        </r>
        <r>
          <rPr>
            <sz val="9"/>
            <rFont val="Tahoma"/>
            <charset val="134"/>
          </rPr>
          <t xml:space="preserve">
</t>
        </r>
        <r>
          <rPr>
            <sz val="9"/>
            <rFont val="Tahoma"/>
            <charset val="134"/>
          </rPr>
          <t>McMaster #  9464K76</t>
        </r>
      </text>
    </comment>
    <comment ref="B8" authorId="0">
      <text>
        <r>
          <rPr>
            <b/>
            <sz val="9"/>
            <rFont val="Tahoma"/>
            <charset val="134"/>
          </rPr>
          <t>asd2323r:</t>
        </r>
        <r>
          <rPr>
            <sz val="9"/>
            <rFont val="Tahoma"/>
            <charset val="134"/>
          </rPr>
          <t xml:space="preserve">
</t>
        </r>
        <r>
          <rPr>
            <sz val="9"/>
            <rFont val="Tahoma"/>
            <charset val="134"/>
          </rPr>
          <t>McMaster #  9464K76</t>
        </r>
      </text>
    </comment>
    <comment ref="C30" authorId="0">
      <text>
        <r>
          <rPr>
            <b/>
            <sz val="9"/>
            <rFont val="Tahoma"/>
            <charset val="134"/>
          </rPr>
          <t>asd2323r:</t>
        </r>
        <r>
          <rPr>
            <sz val="9"/>
            <rFont val="Tahoma"/>
            <charset val="134"/>
          </rPr>
          <t xml:space="preserve">
</t>
        </r>
        <r>
          <rPr>
            <sz val="9"/>
            <rFont val="Tahoma"/>
            <charset val="134"/>
          </rPr>
          <t>due to a mistake I was forced to make a 7/16" -20 thread instead. A proper design should be a 1/2-20 thread. Note because of this I was also forced to change the thread on the injector</t>
        </r>
      </text>
    </comment>
    <comment ref="B31" authorId="0">
      <text>
        <r>
          <rPr>
            <b/>
            <sz val="9"/>
            <rFont val="Tahoma"/>
            <charset val="134"/>
          </rPr>
          <t>asd2323r:</t>
        </r>
        <r>
          <rPr>
            <sz val="9"/>
            <rFont val="Tahoma"/>
            <charset val="134"/>
          </rPr>
          <t xml:space="preserve">
</t>
        </r>
        <r>
          <rPr>
            <sz val="9"/>
            <rFont val="Tahoma"/>
            <charset val="134"/>
          </rPr>
          <t>McMaster # 6540K124</t>
        </r>
      </text>
    </comment>
    <comment ref="B32" authorId="0">
      <text>
        <r>
          <rPr>
            <b/>
            <sz val="9"/>
            <rFont val="Tahoma"/>
            <charset val="134"/>
          </rPr>
          <t>asd2323r:</t>
        </r>
        <r>
          <rPr>
            <sz val="9"/>
            <rFont val="Tahoma"/>
            <charset val="134"/>
          </rPr>
          <t xml:space="preserve">
</t>
        </r>
        <r>
          <rPr>
            <sz val="9"/>
            <rFont val="Tahoma"/>
            <charset val="134"/>
          </rPr>
          <t>McMaster # 9464K78</t>
        </r>
      </text>
    </comment>
  </commentList>
</comments>
</file>

<file path=xl/sharedStrings.xml><?xml version="1.0" encoding="utf-8"?>
<sst xmlns="http://schemas.openxmlformats.org/spreadsheetml/2006/main" count="292">
  <si>
    <t>GOX/Ethanol Igniter v2 Properties</t>
  </si>
  <si>
    <t>Chamber &amp; Nozzle Measurements For Graph</t>
  </si>
  <si>
    <t>Propellent Mass Budget Analysis for Change in Velocity Increment</t>
  </si>
  <si>
    <t>x</t>
  </si>
  <si>
    <t>y-top</t>
  </si>
  <si>
    <t>y-bottom</t>
  </si>
  <si>
    <t>y-top-outer</t>
  </si>
  <si>
    <t>y-bottom-outer</t>
  </si>
  <si>
    <t>y-tube-top-upper</t>
  </si>
  <si>
    <t>y-tube-top-lower</t>
  </si>
  <si>
    <t>y-tube-bottom-upper</t>
  </si>
  <si>
    <t>y-tube-bottom-lower</t>
  </si>
  <si>
    <r>
      <rPr>
        <b/>
        <sz val="10"/>
        <rFont val="Arial"/>
        <charset val="134"/>
      </rPr>
      <t xml:space="preserve">Instructions: </t>
    </r>
    <r>
      <rPr>
        <sz val="10"/>
        <rFont val="Arial"/>
        <charset val="134"/>
      </rPr>
      <t xml:space="preserve">This advanced equation takes a number of bipropellant liquid engine inputs and models a variety of outputs  including: velocity, altitude, acceleration, nozzle dimensions, and heat-transfer. All input data should be filled in the yellow boxes. Anything in grey will be calculated automatically and green values are key outputs also calculated automatically. The charts will also update automatically. </t>
    </r>
    <r>
      <rPr>
        <i/>
        <sz val="10"/>
        <rFont val="Arial"/>
        <charset val="134"/>
      </rPr>
      <t>Note that thermal conductivity calculations do not consider carbon deposits or nucleate boiling</t>
    </r>
  </si>
  <si>
    <t>Velocity Increase (m/sec)</t>
  </si>
  <si>
    <t>Propellent Mass (kg)</t>
  </si>
  <si>
    <t>Change in Propellent Mass (kg)</t>
  </si>
  <si>
    <r>
      <rPr>
        <u/>
        <sz val="10"/>
        <color rgb="FF800080"/>
        <rFont val="Arial"/>
        <charset val="134"/>
      </rPr>
      <t>Fuel/Oxidizer Specific Heat Ratio (</t>
    </r>
    <r>
      <rPr>
        <i/>
        <u/>
        <sz val="10"/>
        <color rgb="FF800080"/>
        <rFont val="Arial"/>
        <charset val="134"/>
      </rPr>
      <t>k</t>
    </r>
    <r>
      <rPr>
        <u/>
        <sz val="10"/>
        <color rgb="FF800080"/>
        <rFont val="Arial"/>
        <charset val="134"/>
      </rPr>
      <t xml:space="preserve">) </t>
    </r>
  </si>
  <si>
    <r>
      <rPr>
        <sz val="10"/>
        <rFont val="Arial"/>
        <charset val="134"/>
      </rPr>
      <t>Initial Velocity (</t>
    </r>
    <r>
      <rPr>
        <i/>
        <sz val="10"/>
        <rFont val="Arial"/>
        <charset val="134"/>
      </rPr>
      <t>u</t>
    </r>
    <r>
      <rPr>
        <i/>
        <vertAlign val="subscript"/>
        <sz val="10"/>
        <rFont val="Arial"/>
        <charset val="134"/>
      </rPr>
      <t>0</t>
    </r>
    <r>
      <rPr>
        <sz val="10"/>
        <rFont val="Arial"/>
        <charset val="134"/>
      </rPr>
      <t>)</t>
    </r>
  </si>
  <si>
    <t>m/sec</t>
  </si>
  <si>
    <r>
      <rPr>
        <sz val="10"/>
        <rFont val="Arial"/>
        <charset val="134"/>
      </rPr>
      <t xml:space="preserve">c* Correction Factor for Chamber Temp </t>
    </r>
    <r>
      <rPr>
        <i/>
        <sz val="10"/>
        <rFont val="Arial"/>
        <charset val="134"/>
      </rPr>
      <t>(n</t>
    </r>
    <r>
      <rPr>
        <i/>
        <vertAlign val="subscript"/>
        <sz val="10"/>
        <rFont val="Arial"/>
        <charset val="134"/>
      </rPr>
      <t>t</t>
    </r>
    <r>
      <rPr>
        <i/>
        <sz val="10"/>
        <rFont val="Arial"/>
        <charset val="134"/>
      </rPr>
      <t>)</t>
    </r>
    <r>
      <rPr>
        <sz val="10"/>
        <rFont val="Arial"/>
        <charset val="134"/>
      </rPr>
      <t>=</t>
    </r>
  </si>
  <si>
    <t xml:space="preserve">initial flight trajectory angle (c) </t>
  </si>
  <si>
    <t>degrees</t>
  </si>
  <si>
    <t>Molecular Mass of Propellant Mixture (M) =</t>
  </si>
  <si>
    <r>
      <rPr>
        <sz val="10"/>
        <rFont val="Arial"/>
        <charset val="134"/>
      </rPr>
      <t>Desired Velocity Increment (</t>
    </r>
    <r>
      <rPr>
        <i/>
        <sz val="10"/>
        <rFont val="Arial"/>
        <charset val="134"/>
      </rPr>
      <t>v</t>
    </r>
    <r>
      <rPr>
        <i/>
        <vertAlign val="subscript"/>
        <sz val="10"/>
        <rFont val="Arial"/>
        <charset val="134"/>
      </rPr>
      <t>f</t>
    </r>
    <r>
      <rPr>
        <sz val="10"/>
        <rFont val="Arial"/>
        <charset val="134"/>
      </rPr>
      <t>)</t>
    </r>
  </si>
  <si>
    <r>
      <rPr>
        <sz val="10"/>
        <rFont val="Arial"/>
        <charset val="134"/>
      </rPr>
      <t xml:space="preserve">Corrected Chamber Temp </t>
    </r>
    <r>
      <rPr>
        <i/>
        <sz val="10"/>
        <rFont val="Arial"/>
        <charset val="134"/>
      </rPr>
      <t>(T</t>
    </r>
    <r>
      <rPr>
        <i/>
        <vertAlign val="subscript"/>
        <sz val="10"/>
        <rFont val="Arial"/>
        <charset val="134"/>
      </rPr>
      <t>1</t>
    </r>
    <r>
      <rPr>
        <i/>
        <sz val="10"/>
        <rFont val="Arial"/>
        <charset val="134"/>
      </rPr>
      <t>)</t>
    </r>
    <r>
      <rPr>
        <sz val="10"/>
        <rFont val="Arial"/>
        <charset val="134"/>
      </rPr>
      <t xml:space="preserve"> =</t>
    </r>
  </si>
  <si>
    <r>
      <rPr>
        <vertAlign val="superscript"/>
        <sz val="10"/>
        <rFont val="Arial"/>
        <charset val="134"/>
      </rPr>
      <t>o</t>
    </r>
    <r>
      <rPr>
        <sz val="10"/>
        <rFont val="Arial"/>
        <charset val="134"/>
      </rPr>
      <t>R</t>
    </r>
  </si>
  <si>
    <t>max flight angle</t>
  </si>
  <si>
    <r>
      <rPr>
        <sz val="10"/>
        <rFont val="Arial"/>
        <charset val="134"/>
      </rPr>
      <t>Gas Constant (</t>
    </r>
    <r>
      <rPr>
        <i/>
        <sz val="10"/>
        <rFont val="Arial"/>
        <charset val="134"/>
      </rPr>
      <t>R</t>
    </r>
    <r>
      <rPr>
        <sz val="10"/>
        <rFont val="Arial"/>
        <charset val="134"/>
      </rPr>
      <t xml:space="preserve">) </t>
    </r>
    <r>
      <rPr>
        <sz val="10"/>
        <rFont val="Arial"/>
        <charset val="134"/>
      </rPr>
      <t>=</t>
    </r>
  </si>
  <si>
    <t>j/Kg-K</t>
  </si>
  <si>
    <r>
      <rPr>
        <sz val="10"/>
        <rFont val="Arial"/>
        <charset val="134"/>
      </rPr>
      <t>Initial Height (</t>
    </r>
    <r>
      <rPr>
        <i/>
        <sz val="10"/>
        <rFont val="Arial"/>
        <charset val="134"/>
      </rPr>
      <t>h</t>
    </r>
    <r>
      <rPr>
        <i/>
        <vertAlign val="subscript"/>
        <sz val="10"/>
        <rFont val="Arial"/>
        <charset val="134"/>
      </rPr>
      <t>0</t>
    </r>
    <r>
      <rPr>
        <sz val="10"/>
        <rFont val="Arial"/>
        <charset val="134"/>
      </rPr>
      <t>)</t>
    </r>
  </si>
  <si>
    <t>m</t>
  </si>
  <si>
    <r>
      <rPr>
        <i/>
        <vertAlign val="superscript"/>
        <sz val="10"/>
        <rFont val="Arial"/>
        <charset val="134"/>
      </rPr>
      <t>o</t>
    </r>
    <r>
      <rPr>
        <i/>
        <sz val="10"/>
        <rFont val="Arial"/>
        <charset val="134"/>
      </rPr>
      <t>K</t>
    </r>
  </si>
  <si>
    <t>(a)</t>
  </si>
  <si>
    <r>
      <rPr>
        <sz val="10"/>
        <rFont val="Arial"/>
        <charset val="134"/>
      </rPr>
      <t>Chamber Temperature (</t>
    </r>
    <r>
      <rPr>
        <i/>
        <sz val="10"/>
        <rFont val="Arial"/>
        <charset val="134"/>
      </rPr>
      <t>T</t>
    </r>
    <r>
      <rPr>
        <i/>
        <vertAlign val="subscript"/>
        <sz val="10"/>
        <rFont val="Arial"/>
        <charset val="134"/>
      </rPr>
      <t>1</t>
    </r>
    <r>
      <rPr>
        <sz val="10"/>
        <rFont val="Arial"/>
        <charset val="134"/>
      </rPr>
      <t xml:space="preserve">) = </t>
    </r>
  </si>
  <si>
    <t>kelvin</t>
  </si>
  <si>
    <t>Max Acceleration =</t>
  </si>
  <si>
    <t>G-Forces</t>
  </si>
  <si>
    <t>Thermal Conductivity of the Gas (k) =</t>
  </si>
  <si>
    <t>W/(m·K)</t>
  </si>
  <si>
    <t>kW/m^2</t>
  </si>
  <si>
    <t>(b)</t>
  </si>
  <si>
    <r>
      <rPr>
        <sz val="10"/>
        <rFont val="Arial"/>
        <charset val="134"/>
      </rPr>
      <t>Nozzle Inlet/Chamber Pressure (</t>
    </r>
    <r>
      <rPr>
        <i/>
        <sz val="10"/>
        <rFont val="Arial"/>
        <charset val="134"/>
      </rPr>
      <t>p</t>
    </r>
    <r>
      <rPr>
        <i/>
        <vertAlign val="subscript"/>
        <sz val="10"/>
        <rFont val="Arial"/>
        <charset val="134"/>
      </rPr>
      <t>1</t>
    </r>
    <r>
      <rPr>
        <sz val="10"/>
        <rFont val="Arial"/>
        <charset val="134"/>
      </rPr>
      <t xml:space="preserve">) = </t>
    </r>
  </si>
  <si>
    <t>psia</t>
  </si>
  <si>
    <r>
      <rPr>
        <sz val="10"/>
        <rFont val="Arial"/>
        <charset val="134"/>
      </rPr>
      <t>Force Max (</t>
    </r>
    <r>
      <rPr>
        <i/>
        <sz val="10"/>
        <rFont val="Arial"/>
        <charset val="134"/>
      </rPr>
      <t>F</t>
    </r>
    <r>
      <rPr>
        <i/>
        <vertAlign val="subscript"/>
        <sz val="10"/>
        <rFont val="Arial"/>
        <charset val="134"/>
      </rPr>
      <t>max</t>
    </r>
    <r>
      <rPr>
        <sz val="10"/>
        <rFont val="Arial"/>
        <charset val="134"/>
      </rPr>
      <t>) =</t>
    </r>
  </si>
  <si>
    <t>Newtons</t>
  </si>
  <si>
    <r>
      <rPr>
        <sz val="10"/>
        <rFont val="Arial"/>
        <charset val="134"/>
      </rPr>
      <t xml:space="preserve">Prandtl Number </t>
    </r>
    <r>
      <rPr>
        <i/>
        <sz val="10"/>
        <rFont val="Arial"/>
        <charset val="134"/>
      </rPr>
      <t>(Pr) =</t>
    </r>
  </si>
  <si>
    <r>
      <rPr>
        <i/>
        <sz val="10"/>
        <rFont val="Arial"/>
        <charset val="134"/>
      </rPr>
      <t>µC</t>
    </r>
    <r>
      <rPr>
        <i/>
        <vertAlign val="subscript"/>
        <sz val="10"/>
        <rFont val="Arial"/>
        <charset val="134"/>
      </rPr>
      <t>p</t>
    </r>
    <r>
      <rPr>
        <i/>
        <sz val="10"/>
        <rFont val="Arial"/>
        <charset val="134"/>
      </rPr>
      <t>/k</t>
    </r>
    <r>
      <rPr>
        <i/>
        <vertAlign val="subscript"/>
        <sz val="10"/>
        <rFont val="Arial"/>
        <charset val="134"/>
      </rPr>
      <t>t</t>
    </r>
  </si>
  <si>
    <t>W/m^2</t>
  </si>
  <si>
    <r>
      <rPr>
        <sz val="10"/>
        <rFont val="Arial"/>
        <charset val="134"/>
      </rPr>
      <t>Nozzle Inlet/Chamber Pressure (</t>
    </r>
    <r>
      <rPr>
        <i/>
        <sz val="10"/>
        <rFont val="Arial"/>
        <charset val="134"/>
      </rPr>
      <t>p</t>
    </r>
    <r>
      <rPr>
        <i/>
        <vertAlign val="subscript"/>
        <sz val="10"/>
        <rFont val="Arial"/>
        <charset val="134"/>
      </rPr>
      <t>1</t>
    </r>
    <r>
      <rPr>
        <sz val="10"/>
        <rFont val="Arial"/>
        <charset val="134"/>
      </rPr>
      <t>) =</t>
    </r>
  </si>
  <si>
    <t>Pascal (MPa)</t>
  </si>
  <si>
    <t>lbs (Pounds Force)</t>
  </si>
  <si>
    <r>
      <rPr>
        <sz val="10"/>
        <rFont val="Arial"/>
        <charset val="134"/>
      </rPr>
      <t>Allowable Hot-gas-side local chamber wall temp</t>
    </r>
    <r>
      <rPr>
        <i/>
        <sz val="10"/>
        <rFont val="Arial"/>
        <charset val="134"/>
      </rPr>
      <t xml:space="preserve"> (T</t>
    </r>
    <r>
      <rPr>
        <i/>
        <vertAlign val="subscript"/>
        <sz val="10"/>
        <rFont val="Arial"/>
        <charset val="134"/>
      </rPr>
      <t>wg</t>
    </r>
    <r>
      <rPr>
        <i/>
        <sz val="10"/>
        <rFont val="Arial"/>
        <charset val="134"/>
      </rPr>
      <t>) =</t>
    </r>
  </si>
  <si>
    <t>1 Btu/ft2 h = 3.1525 W/m2</t>
  </si>
  <si>
    <r>
      <rPr>
        <sz val="10"/>
        <rFont val="Arial"/>
        <charset val="134"/>
      </rPr>
      <t>Nozzle Exit Pressure (</t>
    </r>
    <r>
      <rPr>
        <i/>
        <sz val="10"/>
        <rFont val="Arial"/>
        <charset val="134"/>
      </rPr>
      <t>p</t>
    </r>
    <r>
      <rPr>
        <i/>
        <vertAlign val="subscript"/>
        <sz val="10"/>
        <rFont val="Arial"/>
        <charset val="134"/>
      </rPr>
      <t>2</t>
    </r>
    <r>
      <rPr>
        <sz val="10"/>
        <rFont val="Arial"/>
        <charset val="134"/>
      </rPr>
      <t>) =</t>
    </r>
  </si>
  <si>
    <t>Payload Mass =</t>
  </si>
  <si>
    <t>kg</t>
  </si>
  <si>
    <r>
      <rPr>
        <i/>
        <vertAlign val="superscript"/>
        <sz val="10"/>
        <rFont val="Arial"/>
        <charset val="134"/>
      </rPr>
      <t>o</t>
    </r>
    <r>
      <rPr>
        <i/>
        <sz val="10"/>
        <rFont val="Arial"/>
        <charset val="134"/>
      </rPr>
      <t>R</t>
    </r>
  </si>
  <si>
    <t>Btu/ft2 sec</t>
  </si>
  <si>
    <t>Propellent Mass =</t>
  </si>
  <si>
    <r>
      <rPr>
        <sz val="10"/>
        <rFont val="Arial"/>
        <charset val="134"/>
      </rPr>
      <t>*Estimated* Effective Recovery Factor</t>
    </r>
    <r>
      <rPr>
        <i/>
        <sz val="10"/>
        <rFont val="Arial"/>
        <charset val="134"/>
      </rPr>
      <t xml:space="preserve"> (R) =</t>
    </r>
  </si>
  <si>
    <t>Btu/in2 sec</t>
  </si>
  <si>
    <r>
      <rPr>
        <sz val="10"/>
        <rFont val="Arial"/>
        <charset val="134"/>
      </rPr>
      <t>Atomospheric Pressure  (</t>
    </r>
    <r>
      <rPr>
        <i/>
        <sz val="10"/>
        <rFont val="Arial"/>
        <charset val="134"/>
      </rPr>
      <t>p</t>
    </r>
    <r>
      <rPr>
        <i/>
        <vertAlign val="subscript"/>
        <sz val="10"/>
        <rFont val="Arial"/>
        <charset val="134"/>
      </rPr>
      <t>3</t>
    </r>
    <r>
      <rPr>
        <sz val="10"/>
        <rFont val="Arial"/>
        <charset val="134"/>
      </rPr>
      <t>) =</t>
    </r>
  </si>
  <si>
    <t>Inert hardware Mass</t>
  </si>
  <si>
    <r>
      <rPr>
        <sz val="10"/>
        <rFont val="Arial"/>
        <charset val="134"/>
      </rPr>
      <t>Specific Heat of Gas (C</t>
    </r>
    <r>
      <rPr>
        <vertAlign val="subscript"/>
        <sz val="10"/>
        <rFont val="Arial"/>
        <charset val="134"/>
      </rPr>
      <t>p</t>
    </r>
    <r>
      <rPr>
        <sz val="10"/>
        <rFont val="Arial"/>
        <charset val="134"/>
      </rPr>
      <t xml:space="preserve">)= </t>
    </r>
  </si>
  <si>
    <t xml:space="preserve">  kJ/(kg·K)</t>
  </si>
  <si>
    <r>
      <rPr>
        <sz val="10"/>
        <rFont val="Arial"/>
        <charset val="134"/>
      </rPr>
      <t xml:space="preserve">Atomospheric Pressure </t>
    </r>
    <r>
      <rPr>
        <i/>
        <sz val="10"/>
        <rFont val="Arial"/>
        <charset val="134"/>
      </rPr>
      <t xml:space="preserve"> (p</t>
    </r>
    <r>
      <rPr>
        <i/>
        <vertAlign val="subscript"/>
        <sz val="10"/>
        <rFont val="Arial"/>
        <charset val="134"/>
      </rPr>
      <t>3</t>
    </r>
    <r>
      <rPr>
        <i/>
        <sz val="10"/>
        <rFont val="Arial"/>
        <charset val="134"/>
      </rPr>
      <t>)</t>
    </r>
    <r>
      <rPr>
        <sz val="10"/>
        <rFont val="Arial"/>
        <charset val="134"/>
      </rPr>
      <t xml:space="preserve"> =</t>
    </r>
  </si>
  <si>
    <r>
      <rPr>
        <sz val="10"/>
        <rFont val="Arial"/>
        <charset val="134"/>
      </rPr>
      <t>Initial Mass (</t>
    </r>
    <r>
      <rPr>
        <i/>
        <sz val="10"/>
        <rFont val="Arial"/>
        <charset val="134"/>
      </rPr>
      <t>m</t>
    </r>
    <r>
      <rPr>
        <i/>
        <vertAlign val="subscript"/>
        <sz val="10"/>
        <rFont val="Arial"/>
        <charset val="134"/>
      </rPr>
      <t>o</t>
    </r>
    <r>
      <rPr>
        <sz val="10"/>
        <rFont val="Arial"/>
        <charset val="134"/>
      </rPr>
      <t>)</t>
    </r>
  </si>
  <si>
    <r>
      <rPr>
        <i/>
        <sz val="10"/>
        <rFont val="Arial"/>
        <charset val="134"/>
      </rPr>
      <t>Btu/lb-</t>
    </r>
    <r>
      <rPr>
        <i/>
        <vertAlign val="superscript"/>
        <sz val="10"/>
        <rFont val="Arial"/>
        <charset val="134"/>
      </rPr>
      <t>o</t>
    </r>
    <r>
      <rPr>
        <i/>
        <sz val="10"/>
        <rFont val="Arial"/>
        <charset val="134"/>
      </rPr>
      <t>R</t>
    </r>
  </si>
  <si>
    <r>
      <rPr>
        <sz val="10"/>
        <rFont val="Arial"/>
        <charset val="134"/>
      </rPr>
      <t>Pressure Ratio (</t>
    </r>
    <r>
      <rPr>
        <i/>
        <sz val="10"/>
        <rFont val="Arial"/>
        <charset val="134"/>
      </rPr>
      <t>p</t>
    </r>
    <r>
      <rPr>
        <i/>
        <vertAlign val="subscript"/>
        <sz val="10"/>
        <rFont val="Arial"/>
        <charset val="134"/>
      </rPr>
      <t>2</t>
    </r>
    <r>
      <rPr>
        <i/>
        <sz val="10"/>
        <rFont val="Arial"/>
        <charset val="134"/>
      </rPr>
      <t>/p</t>
    </r>
    <r>
      <rPr>
        <i/>
        <vertAlign val="subscript"/>
        <sz val="10"/>
        <rFont val="Arial"/>
        <charset val="134"/>
      </rPr>
      <t>1</t>
    </r>
    <r>
      <rPr>
        <sz val="10"/>
        <rFont val="Arial"/>
        <charset val="134"/>
      </rPr>
      <t>) =</t>
    </r>
  </si>
  <si>
    <r>
      <rPr>
        <sz val="10"/>
        <rFont val="Arial"/>
        <charset val="134"/>
      </rPr>
      <t>Final Mass (</t>
    </r>
    <r>
      <rPr>
        <i/>
        <sz val="10"/>
        <rFont val="Arial"/>
        <charset val="134"/>
      </rPr>
      <t>m</t>
    </r>
    <r>
      <rPr>
        <i/>
        <vertAlign val="subscript"/>
        <sz val="10"/>
        <rFont val="Arial"/>
        <charset val="134"/>
      </rPr>
      <t>f</t>
    </r>
    <r>
      <rPr>
        <sz val="10"/>
        <rFont val="Arial"/>
        <charset val="134"/>
      </rPr>
      <t>)</t>
    </r>
  </si>
  <si>
    <r>
      <rPr>
        <sz val="10"/>
        <rFont val="Arial"/>
        <charset val="134"/>
      </rPr>
      <t xml:space="preserve">*Calculated* Gas Viscosity </t>
    </r>
    <r>
      <rPr>
        <i/>
        <sz val="10"/>
        <rFont val="Arial"/>
        <charset val="134"/>
      </rPr>
      <t>(µ) =</t>
    </r>
  </si>
  <si>
    <t>kg/(m·sec)</t>
  </si>
  <si>
    <r>
      <rPr>
        <sz val="10"/>
        <rFont val="Arial"/>
        <charset val="134"/>
      </rPr>
      <t>Pressure Ratio (</t>
    </r>
    <r>
      <rPr>
        <i/>
        <sz val="10"/>
        <rFont val="Arial"/>
        <charset val="134"/>
      </rPr>
      <t>p</t>
    </r>
    <r>
      <rPr>
        <i/>
        <vertAlign val="subscript"/>
        <sz val="10"/>
        <rFont val="Arial"/>
        <charset val="134"/>
      </rPr>
      <t>1</t>
    </r>
    <r>
      <rPr>
        <i/>
        <sz val="10"/>
        <rFont val="Arial"/>
        <charset val="134"/>
      </rPr>
      <t>/p</t>
    </r>
    <r>
      <rPr>
        <i/>
        <vertAlign val="subscript"/>
        <sz val="10"/>
        <rFont val="Arial"/>
        <charset val="134"/>
      </rPr>
      <t>2</t>
    </r>
    <r>
      <rPr>
        <sz val="10"/>
        <rFont val="Arial"/>
        <charset val="134"/>
      </rPr>
      <t>) =</t>
    </r>
  </si>
  <si>
    <r>
      <rPr>
        <sz val="10"/>
        <rFont val="Arial"/>
        <charset val="134"/>
      </rPr>
      <t>Mass Ratio (</t>
    </r>
    <r>
      <rPr>
        <b/>
        <sz val="10"/>
        <rFont val="Arial"/>
        <charset val="134"/>
      </rPr>
      <t>MR</t>
    </r>
    <r>
      <rPr>
        <sz val="10"/>
        <rFont val="Arial"/>
        <charset val="134"/>
      </rPr>
      <t>) =</t>
    </r>
  </si>
  <si>
    <t>lb/in-sec</t>
  </si>
  <si>
    <r>
      <rPr>
        <sz val="10"/>
        <rFont val="Arial"/>
        <charset val="134"/>
      </rPr>
      <t>Critical Pressure Ratio (</t>
    </r>
    <r>
      <rPr>
        <i/>
        <sz val="10"/>
        <rFont val="Arial"/>
        <charset val="134"/>
      </rPr>
      <t>p</t>
    </r>
    <r>
      <rPr>
        <i/>
        <vertAlign val="subscript"/>
        <sz val="10"/>
        <rFont val="Arial"/>
        <charset val="134"/>
      </rPr>
      <t>t</t>
    </r>
    <r>
      <rPr>
        <i/>
        <sz val="10"/>
        <rFont val="Arial"/>
        <charset val="134"/>
      </rPr>
      <t>/p</t>
    </r>
    <r>
      <rPr>
        <i/>
        <vertAlign val="subscript"/>
        <sz val="10"/>
        <rFont val="Arial"/>
        <charset val="134"/>
      </rPr>
      <t>1</t>
    </r>
    <r>
      <rPr>
        <sz val="10"/>
        <rFont val="Arial"/>
        <charset val="134"/>
      </rPr>
      <t>) =</t>
    </r>
  </si>
  <si>
    <r>
      <rPr>
        <sz val="10"/>
        <rFont val="Arial"/>
        <charset val="134"/>
      </rPr>
      <t>1 / Mass Ratio (1/</t>
    </r>
    <r>
      <rPr>
        <b/>
        <sz val="10"/>
        <rFont val="Arial"/>
        <charset val="134"/>
      </rPr>
      <t>MR</t>
    </r>
    <r>
      <rPr>
        <sz val="10"/>
        <rFont val="Arial"/>
        <charset val="134"/>
      </rPr>
      <t>) =</t>
    </r>
  </si>
  <si>
    <t>Gas Side Wall Temp / Corrected Chamber Temp Ratio =</t>
  </si>
  <si>
    <r>
      <rPr>
        <sz val="10"/>
        <rFont val="Arial"/>
        <charset val="134"/>
      </rPr>
      <t>Nozzle Throat Pressure (</t>
    </r>
    <r>
      <rPr>
        <i/>
        <sz val="10"/>
        <rFont val="Arial"/>
        <charset val="134"/>
      </rPr>
      <t>p</t>
    </r>
    <r>
      <rPr>
        <i/>
        <vertAlign val="subscript"/>
        <sz val="10"/>
        <rFont val="Arial"/>
        <charset val="134"/>
      </rPr>
      <t>t</t>
    </r>
    <r>
      <rPr>
        <sz val="10"/>
        <rFont val="Arial"/>
        <charset val="134"/>
      </rPr>
      <t>)=</t>
    </r>
  </si>
  <si>
    <r>
      <rPr>
        <sz val="10"/>
        <rFont val="Arial"/>
        <charset val="134"/>
      </rPr>
      <t>Propellent Mass Flow Rate (</t>
    </r>
    <r>
      <rPr>
        <i/>
        <sz val="10"/>
        <rFont val="Arial"/>
        <charset val="134"/>
      </rPr>
      <t>m</t>
    </r>
    <r>
      <rPr>
        <sz val="10"/>
        <rFont val="Arial"/>
        <charset val="134"/>
      </rPr>
      <t>) **Needed** =</t>
    </r>
  </si>
  <si>
    <t>kg/sec</t>
  </si>
  <si>
    <r>
      <rPr>
        <sz val="10"/>
        <rFont val="Arial"/>
        <charset val="134"/>
      </rPr>
      <t xml:space="preserve">Thermal Conductivity of Wall Material </t>
    </r>
    <r>
      <rPr>
        <i/>
        <sz val="10"/>
        <rFont val="Arial"/>
        <charset val="134"/>
      </rPr>
      <t>(k) =</t>
    </r>
  </si>
  <si>
    <t>W/m/K</t>
  </si>
  <si>
    <t>Exit</t>
  </si>
  <si>
    <t>Throat</t>
  </si>
  <si>
    <t>Chamber</t>
  </si>
  <si>
    <t>injector face</t>
  </si>
  <si>
    <t>Drag Loss Correction Factor</t>
  </si>
  <si>
    <r>
      <rPr>
        <sz val="10"/>
        <rFont val="Arial"/>
        <charset val="134"/>
      </rPr>
      <t>Propellant Mass Fraction (</t>
    </r>
    <r>
      <rPr>
        <i/>
        <sz val="10"/>
        <rFont val="Arial"/>
        <charset val="134"/>
      </rPr>
      <t>ξ</t>
    </r>
    <r>
      <rPr>
        <sz val="10"/>
        <rFont val="Arial"/>
        <charset val="134"/>
      </rPr>
      <t>) =</t>
    </r>
  </si>
  <si>
    <r>
      <rPr>
        <sz val="10"/>
        <rFont val="Arial"/>
        <charset val="134"/>
      </rPr>
      <t>Btu/in</t>
    </r>
    <r>
      <rPr>
        <vertAlign val="superscript"/>
        <sz val="10"/>
        <rFont val="Arial"/>
        <charset val="134"/>
      </rPr>
      <t>2</t>
    </r>
    <r>
      <rPr>
        <sz val="10"/>
        <rFont val="Arial"/>
        <charset val="134"/>
      </rPr>
      <t>-</t>
    </r>
    <r>
      <rPr>
        <vertAlign val="superscript"/>
        <sz val="10"/>
        <rFont val="Arial"/>
        <charset val="134"/>
      </rPr>
      <t>o</t>
    </r>
    <r>
      <rPr>
        <sz val="10"/>
        <rFont val="Arial"/>
        <charset val="134"/>
      </rPr>
      <t>F/in</t>
    </r>
  </si>
  <si>
    <t>diameter of circle</t>
  </si>
  <si>
    <r>
      <rPr>
        <sz val="10"/>
        <rFont val="Arial"/>
        <charset val="134"/>
      </rPr>
      <t>Exhaust Velocity (</t>
    </r>
    <r>
      <rPr>
        <i/>
        <sz val="10"/>
        <rFont val="Arial"/>
        <charset val="134"/>
      </rPr>
      <t>v</t>
    </r>
    <r>
      <rPr>
        <i/>
        <vertAlign val="subscript"/>
        <sz val="10"/>
        <rFont val="Arial"/>
        <charset val="134"/>
      </rPr>
      <t>2</t>
    </r>
    <r>
      <rPr>
        <sz val="10"/>
        <rFont val="Arial"/>
        <charset val="134"/>
      </rPr>
      <t>) =</t>
    </r>
  </si>
  <si>
    <t>Max Burn Time</t>
  </si>
  <si>
    <t>sec</t>
  </si>
  <si>
    <r>
      <rPr>
        <sz val="10"/>
        <rFont val="Arial"/>
        <charset val="134"/>
      </rPr>
      <t xml:space="preserve">Coolent tubes distance (thickness) from chamber wall </t>
    </r>
    <r>
      <rPr>
        <i/>
        <sz val="10"/>
        <rFont val="Arial"/>
        <charset val="134"/>
      </rPr>
      <t>(t) =</t>
    </r>
  </si>
  <si>
    <t>in</t>
  </si>
  <si>
    <t>circumfrence</t>
  </si>
  <si>
    <t>*Actual* Characteristic Velocity (c*) =</t>
  </si>
  <si>
    <t>Mixture Ratio (Oxidizer/Fuel) =</t>
  </si>
  <si>
    <t>num segments</t>
  </si>
  <si>
    <t>*Estimated* Characteristic Velocity (c*) =</t>
  </si>
  <si>
    <r>
      <rPr>
        <sz val="10"/>
        <rFont val="Arial"/>
        <charset val="134"/>
      </rPr>
      <t>Propellent Mass Flow Rate Fuel (</t>
    </r>
    <r>
      <rPr>
        <i/>
        <sz val="10"/>
        <rFont val="Arial"/>
        <charset val="134"/>
      </rPr>
      <t>m</t>
    </r>
    <r>
      <rPr>
        <i/>
        <vertAlign val="subscript"/>
        <sz val="10"/>
        <rFont val="Arial"/>
        <charset val="134"/>
      </rPr>
      <t>f</t>
    </r>
    <r>
      <rPr>
        <sz val="10"/>
        <rFont val="Arial"/>
        <charset val="134"/>
      </rPr>
      <t xml:space="preserve">) = </t>
    </r>
  </si>
  <si>
    <r>
      <rPr>
        <sz val="10"/>
        <rFont val="Arial"/>
        <charset val="134"/>
      </rPr>
      <t xml:space="preserve">Local Mach Number </t>
    </r>
    <r>
      <rPr>
        <i/>
        <sz val="10"/>
        <rFont val="Arial"/>
        <charset val="134"/>
      </rPr>
      <t>(M)</t>
    </r>
    <r>
      <rPr>
        <sz val="10"/>
        <rFont val="Arial"/>
        <charset val="134"/>
      </rPr>
      <t xml:space="preserve"> =</t>
    </r>
  </si>
  <si>
    <t>theta</t>
  </si>
  <si>
    <t>C*-Efficiency =</t>
  </si>
  <si>
    <r>
      <rPr>
        <sz val="10"/>
        <rFont val="Arial"/>
        <charset val="134"/>
      </rPr>
      <t>Propellent Mass Flow Rate Oxidizer (</t>
    </r>
    <r>
      <rPr>
        <i/>
        <sz val="10"/>
        <rFont val="Arial"/>
        <charset val="134"/>
      </rPr>
      <t>m</t>
    </r>
    <r>
      <rPr>
        <i/>
        <vertAlign val="subscript"/>
        <sz val="10"/>
        <rFont val="Arial"/>
        <charset val="134"/>
      </rPr>
      <t>o</t>
    </r>
    <r>
      <rPr>
        <sz val="10"/>
        <rFont val="Arial"/>
        <charset val="134"/>
      </rPr>
      <t>) =</t>
    </r>
  </si>
  <si>
    <r>
      <rPr>
        <sz val="10"/>
        <rFont val="Arial"/>
        <charset val="134"/>
      </rPr>
      <t xml:space="preserve">Correction Factor for  property variations across the boundary layer </t>
    </r>
    <r>
      <rPr>
        <i/>
        <sz val="10"/>
        <rFont val="Arial"/>
        <charset val="134"/>
      </rPr>
      <t>(σ)=</t>
    </r>
  </si>
  <si>
    <t>arc length</t>
  </si>
  <si>
    <t>pos</t>
  </si>
  <si>
    <r>
      <rPr>
        <sz val="10"/>
        <rFont val="Arial"/>
        <charset val="134"/>
      </rPr>
      <t>Nozzle Area Ratio (</t>
    </r>
    <r>
      <rPr>
        <i/>
        <sz val="10"/>
        <rFont val="Arial"/>
        <charset val="134"/>
      </rPr>
      <t>A</t>
    </r>
    <r>
      <rPr>
        <i/>
        <vertAlign val="subscript"/>
        <sz val="10"/>
        <rFont val="Arial"/>
        <charset val="134"/>
      </rPr>
      <t>t</t>
    </r>
    <r>
      <rPr>
        <i/>
        <sz val="10"/>
        <rFont val="Arial"/>
        <charset val="134"/>
      </rPr>
      <t>/A</t>
    </r>
    <r>
      <rPr>
        <i/>
        <vertAlign val="subscript"/>
        <sz val="10"/>
        <rFont val="Arial"/>
        <charset val="134"/>
      </rPr>
      <t>2</t>
    </r>
    <r>
      <rPr>
        <sz val="10"/>
        <rFont val="Arial"/>
        <charset val="134"/>
      </rPr>
      <t xml:space="preserve">) = </t>
    </r>
  </si>
  <si>
    <r>
      <rPr>
        <i/>
        <sz val="10"/>
        <rFont val="Arial"/>
        <charset val="134"/>
      </rPr>
      <t>**SPECIAL - SEE COMMENT**</t>
    </r>
    <r>
      <rPr>
        <sz val="10"/>
        <rFont val="Arial"/>
        <charset val="134"/>
      </rPr>
      <t xml:space="preserve"> Density Fuel </t>
    </r>
    <r>
      <rPr>
        <i/>
        <sz val="10"/>
        <rFont val="Arial"/>
        <charset val="134"/>
      </rPr>
      <t>(ρ</t>
    </r>
    <r>
      <rPr>
        <i/>
        <vertAlign val="subscript"/>
        <sz val="10"/>
        <rFont val="Arial"/>
        <charset val="134"/>
      </rPr>
      <t>f</t>
    </r>
    <r>
      <rPr>
        <i/>
        <sz val="10"/>
        <rFont val="Arial"/>
        <charset val="134"/>
      </rPr>
      <t>)</t>
    </r>
    <r>
      <rPr>
        <sz val="10"/>
        <rFont val="Arial"/>
        <charset val="134"/>
      </rPr>
      <t>=</t>
    </r>
  </si>
  <si>
    <r>
      <rPr>
        <sz val="10"/>
        <rFont val="Arial"/>
        <charset val="134"/>
      </rPr>
      <t>kg/m</t>
    </r>
    <r>
      <rPr>
        <vertAlign val="superscript"/>
        <sz val="10"/>
        <rFont val="Arial"/>
        <charset val="134"/>
      </rPr>
      <t>3</t>
    </r>
  </si>
  <si>
    <r>
      <rPr>
        <i/>
        <sz val="10"/>
        <rFont val="Arial"/>
        <charset val="134"/>
      </rPr>
      <t>Gas Side Heat Transfer Coefficient (h</t>
    </r>
    <r>
      <rPr>
        <i/>
        <vertAlign val="subscript"/>
        <sz val="10"/>
        <rFont val="Arial"/>
        <charset val="134"/>
      </rPr>
      <t>g</t>
    </r>
    <r>
      <rPr>
        <i/>
        <sz val="10"/>
        <rFont val="Arial"/>
        <charset val="134"/>
      </rPr>
      <t>) =</t>
    </r>
  </si>
  <si>
    <r>
      <rPr>
        <sz val="10"/>
        <rFont val="Arial"/>
        <charset val="134"/>
      </rPr>
      <t>Btu/in</t>
    </r>
    <r>
      <rPr>
        <vertAlign val="superscript"/>
        <sz val="10"/>
        <rFont val="Arial"/>
        <charset val="134"/>
      </rPr>
      <t>2</t>
    </r>
    <r>
      <rPr>
        <sz val="10"/>
        <rFont val="Arial"/>
        <charset val="134"/>
      </rPr>
      <t>-s-</t>
    </r>
    <r>
      <rPr>
        <vertAlign val="superscript"/>
        <sz val="10"/>
        <rFont val="Arial"/>
        <charset val="134"/>
      </rPr>
      <t>o</t>
    </r>
    <r>
      <rPr>
        <sz val="10"/>
        <rFont val="Arial"/>
        <charset val="134"/>
      </rPr>
      <t>R</t>
    </r>
  </si>
  <si>
    <t>channel length</t>
  </si>
  <si>
    <r>
      <rPr>
        <sz val="10"/>
        <rFont val="Arial"/>
        <charset val="134"/>
      </rPr>
      <t>Nozzle Area Ratio (</t>
    </r>
    <r>
      <rPr>
        <i/>
        <sz val="10"/>
        <rFont val="Arial"/>
        <charset val="134"/>
      </rPr>
      <t>A</t>
    </r>
    <r>
      <rPr>
        <i/>
        <vertAlign val="subscript"/>
        <sz val="10"/>
        <rFont val="Arial"/>
        <charset val="134"/>
      </rPr>
      <t>2</t>
    </r>
    <r>
      <rPr>
        <i/>
        <sz val="10"/>
        <rFont val="Arial"/>
        <charset val="134"/>
      </rPr>
      <t>/A</t>
    </r>
    <r>
      <rPr>
        <i/>
        <vertAlign val="subscript"/>
        <sz val="10"/>
        <rFont val="Arial"/>
        <charset val="134"/>
      </rPr>
      <t>t</t>
    </r>
    <r>
      <rPr>
        <sz val="10"/>
        <rFont val="Arial"/>
        <charset val="134"/>
      </rPr>
      <t>) =</t>
    </r>
  </si>
  <si>
    <r>
      <rPr>
        <i/>
        <sz val="10"/>
        <rFont val="Arial"/>
        <charset val="134"/>
      </rPr>
      <t xml:space="preserve">**SPECIAL - SEE COMMENT** </t>
    </r>
    <r>
      <rPr>
        <sz val="10"/>
        <rFont val="Arial"/>
        <charset val="134"/>
      </rPr>
      <t xml:space="preserve">Density Oxidizer </t>
    </r>
    <r>
      <rPr>
        <i/>
        <sz val="10"/>
        <rFont val="Arial"/>
        <charset val="134"/>
      </rPr>
      <t>(ρ</t>
    </r>
    <r>
      <rPr>
        <i/>
        <vertAlign val="subscript"/>
        <sz val="10"/>
        <rFont val="Arial"/>
        <charset val="134"/>
      </rPr>
      <t>o</t>
    </r>
    <r>
      <rPr>
        <i/>
        <sz val="10"/>
        <rFont val="Arial"/>
        <charset val="134"/>
      </rPr>
      <t>)</t>
    </r>
    <r>
      <rPr>
        <sz val="10"/>
        <rFont val="Arial"/>
        <charset val="134"/>
      </rPr>
      <t>=</t>
    </r>
  </si>
  <si>
    <r>
      <rPr>
        <sz val="10"/>
        <rFont val="Arial"/>
        <charset val="134"/>
      </rPr>
      <t>kW/m</t>
    </r>
    <r>
      <rPr>
        <vertAlign val="superscript"/>
        <sz val="10"/>
        <rFont val="Arial"/>
        <charset val="134"/>
      </rPr>
      <t>2</t>
    </r>
    <r>
      <rPr>
        <sz val="10"/>
        <rFont val="Arial"/>
        <charset val="134"/>
      </rPr>
      <t>-K</t>
    </r>
  </si>
  <si>
    <t>num vertices</t>
  </si>
  <si>
    <r>
      <rPr>
        <sz val="10"/>
        <rFont val="Arial"/>
        <charset val="134"/>
      </rPr>
      <t xml:space="preserve">Thrust Coefficient </t>
    </r>
    <r>
      <rPr>
        <i/>
        <sz val="10"/>
        <rFont val="Arial"/>
        <charset val="134"/>
      </rPr>
      <t>(C</t>
    </r>
    <r>
      <rPr>
        <i/>
        <vertAlign val="subscript"/>
        <sz val="10"/>
        <rFont val="Arial"/>
        <charset val="134"/>
      </rPr>
      <t>F</t>
    </r>
    <r>
      <rPr>
        <i/>
        <sz val="10"/>
        <rFont val="Arial"/>
        <charset val="134"/>
      </rPr>
      <t>)</t>
    </r>
    <r>
      <rPr>
        <sz val="10"/>
        <rFont val="Arial"/>
        <charset val="134"/>
      </rPr>
      <t xml:space="preserve"> =</t>
    </r>
  </si>
  <si>
    <r>
      <rPr>
        <sz val="10"/>
        <rFont val="Arial"/>
        <charset val="134"/>
      </rPr>
      <t>Fuel Volumetric Flow Rate (</t>
    </r>
    <r>
      <rPr>
        <i/>
        <sz val="10"/>
        <rFont val="Arial"/>
        <charset val="134"/>
      </rPr>
      <t>Q</t>
    </r>
    <r>
      <rPr>
        <i/>
        <vertAlign val="subscript"/>
        <sz val="10"/>
        <rFont val="Arial"/>
        <charset val="134"/>
      </rPr>
      <t>f</t>
    </r>
    <r>
      <rPr>
        <sz val="10"/>
        <rFont val="Arial"/>
        <charset val="134"/>
      </rPr>
      <t>) =</t>
    </r>
  </si>
  <si>
    <r>
      <rPr>
        <sz val="10"/>
        <rFont val="Arial"/>
        <charset val="134"/>
      </rPr>
      <t>m</t>
    </r>
    <r>
      <rPr>
        <vertAlign val="superscript"/>
        <sz val="10"/>
        <rFont val="Arial"/>
        <charset val="134"/>
      </rPr>
      <t>3</t>
    </r>
    <r>
      <rPr>
        <sz val="10"/>
        <rFont val="Arial"/>
        <charset val="134"/>
      </rPr>
      <t>/sec</t>
    </r>
  </si>
  <si>
    <r>
      <rPr>
        <sz val="10"/>
        <rFont val="Arial"/>
        <charset val="134"/>
      </rPr>
      <t>Adiabatic Wall Temperature of the gas</t>
    </r>
    <r>
      <rPr>
        <i/>
        <sz val="10"/>
        <rFont val="Arial"/>
        <charset val="134"/>
      </rPr>
      <t xml:space="preserve"> (T</t>
    </r>
    <r>
      <rPr>
        <i/>
        <vertAlign val="subscript"/>
        <sz val="10"/>
        <rFont val="Arial"/>
        <charset val="134"/>
      </rPr>
      <t>aw</t>
    </r>
    <r>
      <rPr>
        <i/>
        <sz val="10"/>
        <rFont val="Arial"/>
        <charset val="134"/>
      </rPr>
      <t>) =</t>
    </r>
  </si>
  <si>
    <t>vertice length</t>
  </si>
  <si>
    <r>
      <rPr>
        <sz val="10"/>
        <rFont val="Arial"/>
        <charset val="134"/>
      </rPr>
      <t xml:space="preserve">Chamber Contraction Ratio  </t>
    </r>
    <r>
      <rPr>
        <i/>
        <sz val="10"/>
        <rFont val="Arial"/>
        <charset val="134"/>
      </rPr>
      <t>(A</t>
    </r>
    <r>
      <rPr>
        <i/>
        <vertAlign val="subscript"/>
        <sz val="10"/>
        <rFont val="Arial"/>
        <charset val="134"/>
      </rPr>
      <t>1</t>
    </r>
    <r>
      <rPr>
        <i/>
        <sz val="10"/>
        <rFont val="Arial"/>
        <charset val="134"/>
      </rPr>
      <t>/A</t>
    </r>
    <r>
      <rPr>
        <i/>
        <vertAlign val="subscript"/>
        <sz val="10"/>
        <rFont val="Arial"/>
        <charset val="134"/>
      </rPr>
      <t>t</t>
    </r>
    <r>
      <rPr>
        <i/>
        <sz val="10"/>
        <rFont val="Arial"/>
        <charset val="134"/>
      </rPr>
      <t>) =</t>
    </r>
  </si>
  <si>
    <t>gallons/min</t>
  </si>
  <si>
    <t>multiplier</t>
  </si>
  <si>
    <t>Chamber Cross Sectional Area =</t>
  </si>
  <si>
    <r>
      <rPr>
        <sz val="10"/>
        <rFont val="Arial"/>
        <charset val="134"/>
      </rPr>
      <t>meters</t>
    </r>
    <r>
      <rPr>
        <vertAlign val="superscript"/>
        <sz val="10"/>
        <rFont val="Arial"/>
        <charset val="134"/>
      </rPr>
      <t>2</t>
    </r>
  </si>
  <si>
    <r>
      <rPr>
        <sz val="10"/>
        <rFont val="Arial"/>
        <charset val="134"/>
      </rPr>
      <t>Oxidizer Volumetric Flow Rate (</t>
    </r>
    <r>
      <rPr>
        <i/>
        <sz val="10"/>
        <rFont val="Arial"/>
        <charset val="134"/>
      </rPr>
      <t>Q</t>
    </r>
    <r>
      <rPr>
        <i/>
        <vertAlign val="subscript"/>
        <sz val="10"/>
        <rFont val="Arial"/>
        <charset val="134"/>
      </rPr>
      <t>o</t>
    </r>
    <r>
      <rPr>
        <sz val="10"/>
        <rFont val="Arial"/>
        <charset val="134"/>
      </rPr>
      <t>) =</t>
    </r>
  </si>
  <si>
    <r>
      <rPr>
        <sz val="10"/>
        <rFont val="Arial"/>
        <charset val="134"/>
      </rPr>
      <t xml:space="preserve">Gas Side Heat Transfer (eg. heat flux) </t>
    </r>
    <r>
      <rPr>
        <i/>
        <sz val="10"/>
        <rFont val="Arial"/>
        <charset val="134"/>
      </rPr>
      <t>(q)</t>
    </r>
    <r>
      <rPr>
        <sz val="10"/>
        <rFont val="Arial"/>
        <charset val="134"/>
      </rPr>
      <t xml:space="preserve"> =</t>
    </r>
  </si>
  <si>
    <r>
      <rPr>
        <sz val="10"/>
        <rFont val="Arial"/>
        <charset val="134"/>
      </rPr>
      <t>Btu/in</t>
    </r>
    <r>
      <rPr>
        <vertAlign val="superscript"/>
        <sz val="10"/>
        <rFont val="Arial"/>
        <charset val="134"/>
      </rPr>
      <t>2</t>
    </r>
    <r>
      <rPr>
        <sz val="10"/>
        <rFont val="Arial"/>
        <charset val="134"/>
      </rPr>
      <t>-s</t>
    </r>
  </si>
  <si>
    <r>
      <rPr>
        <sz val="10"/>
        <rFont val="Arial"/>
        <charset val="134"/>
      </rPr>
      <t>inches</t>
    </r>
    <r>
      <rPr>
        <vertAlign val="superscript"/>
        <sz val="10"/>
        <rFont val="Arial"/>
        <charset val="134"/>
      </rPr>
      <t>2</t>
    </r>
  </si>
  <si>
    <t>Gas Side Heat Transfer (eg. heat flux) (q) =</t>
  </si>
  <si>
    <r>
      <rPr>
        <sz val="10"/>
        <rFont val="Arial"/>
        <charset val="134"/>
      </rPr>
      <t>kW/m</t>
    </r>
    <r>
      <rPr>
        <vertAlign val="superscript"/>
        <sz val="10"/>
        <rFont val="Arial"/>
        <charset val="134"/>
      </rPr>
      <t>2</t>
    </r>
  </si>
  <si>
    <t>circle</t>
  </si>
  <si>
    <t>Chamber Diameter =</t>
  </si>
  <si>
    <t>meters</t>
  </si>
  <si>
    <r>
      <rPr>
        <i/>
        <u/>
        <sz val="10"/>
        <color indexed="12"/>
        <rFont val="Arial"/>
        <charset val="134"/>
      </rPr>
      <t xml:space="preserve">**Gas Only** </t>
    </r>
    <r>
      <rPr>
        <u/>
        <sz val="10"/>
        <color indexed="12"/>
        <rFont val="Arial"/>
        <charset val="134"/>
      </rPr>
      <t>Fuel Specific Heat Ratio (</t>
    </r>
    <r>
      <rPr>
        <i/>
        <u/>
        <sz val="10"/>
        <color indexed="12"/>
        <rFont val="Arial"/>
        <charset val="134"/>
      </rPr>
      <t>k</t>
    </r>
    <r>
      <rPr>
        <u/>
        <sz val="10"/>
        <color indexed="12"/>
        <rFont val="Arial"/>
        <charset val="134"/>
      </rPr>
      <t>)</t>
    </r>
  </si>
  <si>
    <r>
      <rPr>
        <sz val="10"/>
        <rFont val="Arial"/>
        <charset val="134"/>
      </rPr>
      <t xml:space="preserve">Coolent Wall Temp </t>
    </r>
    <r>
      <rPr>
        <i/>
        <sz val="10"/>
        <rFont val="Arial"/>
        <charset val="134"/>
      </rPr>
      <t>(T</t>
    </r>
    <r>
      <rPr>
        <i/>
        <vertAlign val="subscript"/>
        <sz val="10"/>
        <rFont val="Arial"/>
        <charset val="134"/>
      </rPr>
      <t>wc</t>
    </r>
    <r>
      <rPr>
        <i/>
        <sz val="10"/>
        <rFont val="Arial"/>
        <charset val="134"/>
      </rPr>
      <t>) =</t>
    </r>
  </si>
  <si>
    <t>square</t>
  </si>
  <si>
    <t>inches</t>
  </si>
  <si>
    <r>
      <rPr>
        <u/>
        <sz val="10"/>
        <color indexed="12"/>
        <rFont val="Arial"/>
        <charset val="134"/>
      </rPr>
      <t>**Gas Only** Oxidizer Specific Heat Ratio (</t>
    </r>
    <r>
      <rPr>
        <i/>
        <u/>
        <sz val="10"/>
        <color indexed="12"/>
        <rFont val="Arial"/>
        <charset val="134"/>
      </rPr>
      <t>k</t>
    </r>
    <r>
      <rPr>
        <u/>
        <sz val="10"/>
        <color indexed="12"/>
        <rFont val="Arial"/>
        <charset val="134"/>
      </rPr>
      <t>)</t>
    </r>
  </si>
  <si>
    <t>nozzle diameter</t>
  </si>
  <si>
    <r>
      <rPr>
        <sz val="10"/>
        <rFont val="Arial"/>
        <charset val="134"/>
      </rPr>
      <t xml:space="preserve">Chamber Length </t>
    </r>
    <r>
      <rPr>
        <i/>
        <sz val="10"/>
        <rFont val="Arial"/>
        <charset val="134"/>
      </rPr>
      <t>(L</t>
    </r>
    <r>
      <rPr>
        <i/>
        <vertAlign val="subscript"/>
        <sz val="10"/>
        <rFont val="Arial"/>
        <charset val="134"/>
      </rPr>
      <t>1</t>
    </r>
    <r>
      <rPr>
        <i/>
        <sz val="10"/>
        <rFont val="Arial"/>
        <charset val="134"/>
      </rPr>
      <t>)</t>
    </r>
    <r>
      <rPr>
        <sz val="10"/>
        <rFont val="Arial"/>
        <charset val="134"/>
      </rPr>
      <t>=</t>
    </r>
  </si>
  <si>
    <r>
      <rPr>
        <i/>
        <sz val="10"/>
        <rFont val="Arial"/>
        <charset val="134"/>
      </rPr>
      <t>**Gas Only**</t>
    </r>
    <r>
      <rPr>
        <sz val="10"/>
        <rFont val="Arial"/>
        <charset val="134"/>
      </rPr>
      <t xml:space="preserve"> Fuel Compressability Factor </t>
    </r>
    <r>
      <rPr>
        <i/>
        <sz val="10"/>
        <rFont val="Arial"/>
        <charset val="134"/>
      </rPr>
      <t>(Z</t>
    </r>
    <r>
      <rPr>
        <i/>
        <vertAlign val="subscript"/>
        <sz val="10"/>
        <rFont val="Arial"/>
        <charset val="134"/>
      </rPr>
      <t>f</t>
    </r>
    <r>
      <rPr>
        <i/>
        <sz val="10"/>
        <rFont val="Arial"/>
        <charset val="134"/>
      </rPr>
      <t>)</t>
    </r>
    <r>
      <rPr>
        <sz val="10"/>
        <rFont val="Arial"/>
        <charset val="134"/>
      </rPr>
      <t>=</t>
    </r>
  </si>
  <si>
    <r>
      <rPr>
        <sz val="10"/>
        <rFont val="Arial"/>
        <charset val="134"/>
      </rPr>
      <t xml:space="preserve">Coolent Side Heat Transfer Coefficent </t>
    </r>
    <r>
      <rPr>
        <i/>
        <sz val="10"/>
        <rFont val="Arial"/>
        <charset val="134"/>
      </rPr>
      <t>(h</t>
    </r>
    <r>
      <rPr>
        <i/>
        <vertAlign val="subscript"/>
        <sz val="10"/>
        <rFont val="Arial"/>
        <charset val="134"/>
      </rPr>
      <t>c</t>
    </r>
    <r>
      <rPr>
        <i/>
        <sz val="10"/>
        <rFont val="Arial"/>
        <charset val="134"/>
      </rPr>
      <t>)=</t>
    </r>
  </si>
  <si>
    <t xml:space="preserve">perimeter (C) </t>
  </si>
  <si>
    <t>Chamber Length =</t>
  </si>
  <si>
    <r>
      <rPr>
        <i/>
        <sz val="10"/>
        <rFont val="Arial"/>
        <charset val="134"/>
      </rPr>
      <t xml:space="preserve">**Gas Only** </t>
    </r>
    <r>
      <rPr>
        <sz val="10"/>
        <rFont val="Arial"/>
        <charset val="134"/>
      </rPr>
      <t xml:space="preserve">OxidizerCompressability Factor </t>
    </r>
    <r>
      <rPr>
        <i/>
        <sz val="10"/>
        <rFont val="Arial"/>
        <charset val="134"/>
      </rPr>
      <t>(Z</t>
    </r>
    <r>
      <rPr>
        <i/>
        <vertAlign val="subscript"/>
        <sz val="10"/>
        <rFont val="Arial"/>
        <charset val="134"/>
      </rPr>
      <t>o</t>
    </r>
    <r>
      <rPr>
        <i/>
        <sz val="10"/>
        <rFont val="Arial"/>
        <charset val="134"/>
      </rPr>
      <t>)</t>
    </r>
    <r>
      <rPr>
        <sz val="10"/>
        <rFont val="Arial"/>
        <charset val="134"/>
      </rPr>
      <t xml:space="preserve"> =</t>
    </r>
  </si>
  <si>
    <t>number of tubes (n)</t>
  </si>
  <si>
    <r>
      <rPr>
        <sz val="10"/>
        <rFont val="Arial"/>
        <charset val="134"/>
      </rPr>
      <t xml:space="preserve">Nozzle Cone Convergence Half Angle </t>
    </r>
    <r>
      <rPr>
        <i/>
        <sz val="10"/>
        <rFont val="Arial"/>
        <charset val="134"/>
      </rPr>
      <t>(α)</t>
    </r>
    <r>
      <rPr>
        <sz val="10"/>
        <rFont val="Arial"/>
        <charset val="134"/>
      </rPr>
      <t xml:space="preserve"> =</t>
    </r>
  </si>
  <si>
    <r>
      <rPr>
        <sz val="10"/>
        <rFont val="Arial"/>
        <charset val="134"/>
      </rPr>
      <t xml:space="preserve">Fuel Feed Pressure </t>
    </r>
    <r>
      <rPr>
        <i/>
        <sz val="10"/>
        <rFont val="Arial"/>
        <charset val="134"/>
      </rPr>
      <t>(p</t>
    </r>
    <r>
      <rPr>
        <i/>
        <vertAlign val="subscript"/>
        <sz val="10"/>
        <rFont val="Arial"/>
        <charset val="134"/>
      </rPr>
      <t>f</t>
    </r>
    <r>
      <rPr>
        <i/>
        <sz val="10"/>
        <rFont val="Arial"/>
        <charset val="134"/>
      </rPr>
      <t>)</t>
    </r>
    <r>
      <rPr>
        <sz val="10"/>
        <rFont val="Arial"/>
        <charset val="134"/>
      </rPr>
      <t xml:space="preserve"> =</t>
    </r>
  </si>
  <si>
    <t>Combustion Chamber Surface Area =</t>
  </si>
  <si>
    <r>
      <rPr>
        <i/>
        <sz val="10"/>
        <rFont val="Arial"/>
        <charset val="134"/>
      </rPr>
      <t>m</t>
    </r>
    <r>
      <rPr>
        <i/>
        <vertAlign val="superscript"/>
        <sz val="10"/>
        <rFont val="Arial"/>
        <charset val="134"/>
      </rPr>
      <t>2</t>
    </r>
  </si>
  <si>
    <t>width of deformed tube (w)</t>
  </si>
  <si>
    <r>
      <rPr>
        <sz val="10"/>
        <rFont val="Arial"/>
        <charset val="134"/>
      </rPr>
      <t xml:space="preserve">Convergence Length </t>
    </r>
    <r>
      <rPr>
        <sz val="10"/>
        <rFont val="Arial"/>
        <charset val="134"/>
      </rPr>
      <t xml:space="preserve"> =</t>
    </r>
  </si>
  <si>
    <r>
      <rPr>
        <sz val="10"/>
        <rFont val="Arial"/>
        <charset val="134"/>
      </rPr>
      <t xml:space="preserve">Oxidizer Feed Pressure </t>
    </r>
    <r>
      <rPr>
        <i/>
        <sz val="10"/>
        <rFont val="Arial"/>
        <charset val="134"/>
      </rPr>
      <t>(p</t>
    </r>
    <r>
      <rPr>
        <i/>
        <vertAlign val="subscript"/>
        <sz val="10"/>
        <rFont val="Arial"/>
        <charset val="134"/>
      </rPr>
      <t>o</t>
    </r>
    <r>
      <rPr>
        <i/>
        <sz val="10"/>
        <rFont val="Arial"/>
        <charset val="134"/>
      </rPr>
      <t>)</t>
    </r>
    <r>
      <rPr>
        <sz val="10"/>
        <rFont val="Arial"/>
        <charset val="134"/>
      </rPr>
      <t xml:space="preserve"> =</t>
    </r>
  </si>
  <si>
    <r>
      <rPr>
        <i/>
        <sz val="10"/>
        <rFont val="Arial"/>
        <charset val="134"/>
      </rPr>
      <t>in</t>
    </r>
    <r>
      <rPr>
        <i/>
        <vertAlign val="superscript"/>
        <sz val="10"/>
        <rFont val="Arial"/>
        <charset val="134"/>
      </rPr>
      <t>2</t>
    </r>
  </si>
  <si>
    <t>diameter of undeformed tube (d)</t>
  </si>
  <si>
    <t>time</t>
  </si>
  <si>
    <t>Convergence Length  =</t>
  </si>
  <si>
    <r>
      <rPr>
        <sz val="10"/>
        <rFont val="Arial"/>
        <charset val="134"/>
      </rPr>
      <t xml:space="preserve">Fuel Change in Feed vs Chamber Pressure </t>
    </r>
    <r>
      <rPr>
        <i/>
        <sz val="10"/>
        <rFont val="Arial"/>
        <charset val="134"/>
      </rPr>
      <t>(Δp</t>
    </r>
    <r>
      <rPr>
        <i/>
        <vertAlign val="subscript"/>
        <sz val="10"/>
        <rFont val="Arial"/>
        <charset val="134"/>
      </rPr>
      <t>f</t>
    </r>
    <r>
      <rPr>
        <i/>
        <sz val="10"/>
        <rFont val="Arial"/>
        <charset val="134"/>
      </rPr>
      <t>)</t>
    </r>
    <r>
      <rPr>
        <sz val="10"/>
        <rFont val="Arial"/>
        <charset val="134"/>
      </rPr>
      <t xml:space="preserve"> =</t>
    </r>
  </si>
  <si>
    <r>
      <rPr>
        <sz val="10"/>
        <rFont val="Arial"/>
        <charset val="134"/>
      </rPr>
      <t>Number of Tubes</t>
    </r>
    <r>
      <rPr>
        <i/>
        <sz val="10"/>
        <rFont val="Arial"/>
        <charset val="134"/>
      </rPr>
      <t xml:space="preserve"> (N) =</t>
    </r>
  </si>
  <si>
    <t>perimeter of tube (p). Presumably un-deformed</t>
  </si>
  <si>
    <r>
      <rPr>
        <sz val="10"/>
        <rFont val="Arial"/>
        <charset val="134"/>
      </rPr>
      <t>Conical Frustum Length (</t>
    </r>
    <r>
      <rPr>
        <i/>
        <sz val="10"/>
        <rFont val="Arial"/>
        <charset val="134"/>
      </rPr>
      <t>L</t>
    </r>
    <r>
      <rPr>
        <i/>
        <vertAlign val="subscript"/>
        <sz val="10"/>
        <rFont val="Arial"/>
        <charset val="134"/>
      </rPr>
      <t>c</t>
    </r>
    <r>
      <rPr>
        <sz val="10"/>
        <rFont val="Arial"/>
        <charset val="134"/>
      </rPr>
      <t>) =</t>
    </r>
  </si>
  <si>
    <r>
      <rPr>
        <sz val="10"/>
        <rFont val="Arial"/>
        <charset val="134"/>
      </rPr>
      <t>Oxidizer Change in Feed vs Chamber Pressure (</t>
    </r>
    <r>
      <rPr>
        <i/>
        <sz val="10"/>
        <rFont val="Arial"/>
        <charset val="134"/>
      </rPr>
      <t>Δp</t>
    </r>
    <r>
      <rPr>
        <i/>
        <vertAlign val="subscript"/>
        <sz val="10"/>
        <rFont val="Arial"/>
        <charset val="134"/>
      </rPr>
      <t>o</t>
    </r>
    <r>
      <rPr>
        <sz val="10"/>
        <rFont val="Arial"/>
        <charset val="134"/>
      </rPr>
      <t>)=</t>
    </r>
  </si>
  <si>
    <r>
      <rPr>
        <sz val="10"/>
        <rFont val="Arial"/>
        <charset val="134"/>
      </rPr>
      <t xml:space="preserve">Coolent Temp Entering Coolent Jacket </t>
    </r>
    <r>
      <rPr>
        <i/>
        <sz val="10"/>
        <rFont val="Arial"/>
        <charset val="134"/>
      </rPr>
      <t>(T</t>
    </r>
    <r>
      <rPr>
        <i/>
        <vertAlign val="subscript"/>
        <sz val="10"/>
        <rFont val="Arial"/>
        <charset val="134"/>
      </rPr>
      <t>co</t>
    </r>
    <r>
      <rPr>
        <i/>
        <sz val="10"/>
        <rFont val="Arial"/>
        <charset val="134"/>
      </rPr>
      <t>) =</t>
    </r>
  </si>
  <si>
    <t>height of deformed tube (h)</t>
  </si>
  <si>
    <r>
      <rPr>
        <i/>
        <sz val="10"/>
        <rFont val="Arial"/>
        <charset val="134"/>
      </rPr>
      <t>**Gas Only**</t>
    </r>
    <r>
      <rPr>
        <sz val="10"/>
        <rFont val="Arial"/>
        <charset val="134"/>
      </rPr>
      <t xml:space="preserve"> Fuel Choked Flow Critical Value</t>
    </r>
    <r>
      <rPr>
        <i/>
        <sz val="10"/>
        <rFont val="Arial"/>
        <charset val="134"/>
      </rPr>
      <t>(p*)</t>
    </r>
    <r>
      <rPr>
        <sz val="10"/>
        <rFont val="Arial"/>
        <charset val="134"/>
      </rPr>
      <t>=</t>
    </r>
  </si>
  <si>
    <r>
      <rPr>
        <i/>
        <sz val="10"/>
        <rFont val="Arial"/>
        <charset val="134"/>
      </rPr>
      <t>*p</t>
    </r>
    <r>
      <rPr>
        <i/>
        <vertAlign val="subscript"/>
        <sz val="10"/>
        <rFont val="Arial"/>
        <charset val="134"/>
      </rPr>
      <t>1</t>
    </r>
  </si>
  <si>
    <r>
      <rPr>
        <sz val="10"/>
        <rFont val="Arial"/>
        <charset val="134"/>
      </rPr>
      <t>Coolant Critical Temperature</t>
    </r>
    <r>
      <rPr>
        <i/>
        <sz val="10"/>
        <rFont val="Arial"/>
        <charset val="134"/>
      </rPr>
      <t xml:space="preserve"> (T</t>
    </r>
    <r>
      <rPr>
        <i/>
        <vertAlign val="subscript"/>
        <sz val="10"/>
        <rFont val="Arial"/>
        <charset val="134"/>
      </rPr>
      <t>cc</t>
    </r>
    <r>
      <rPr>
        <i/>
        <sz val="10"/>
        <rFont val="Arial"/>
        <charset val="134"/>
      </rPr>
      <t>) =</t>
    </r>
  </si>
  <si>
    <t>d-h</t>
  </si>
  <si>
    <r>
      <rPr>
        <sz val="10"/>
        <rFont val="Arial"/>
        <charset val="134"/>
      </rPr>
      <t xml:space="preserve">Chamber Volume </t>
    </r>
    <r>
      <rPr>
        <i/>
        <sz val="10"/>
        <rFont val="Arial"/>
        <charset val="134"/>
      </rPr>
      <t>(V</t>
    </r>
    <r>
      <rPr>
        <i/>
        <vertAlign val="subscript"/>
        <sz val="10"/>
        <rFont val="Arial"/>
        <charset val="134"/>
      </rPr>
      <t>c</t>
    </r>
    <r>
      <rPr>
        <i/>
        <sz val="10"/>
        <rFont val="Arial"/>
        <charset val="134"/>
      </rPr>
      <t>)</t>
    </r>
    <r>
      <rPr>
        <sz val="10"/>
        <rFont val="Arial"/>
        <charset val="134"/>
      </rPr>
      <t>=</t>
    </r>
  </si>
  <si>
    <r>
      <rPr>
        <sz val="10"/>
        <rFont val="Arial"/>
        <charset val="134"/>
      </rPr>
      <t>meters</t>
    </r>
    <r>
      <rPr>
        <vertAlign val="superscript"/>
        <sz val="10"/>
        <rFont val="Arial"/>
        <charset val="134"/>
      </rPr>
      <t>3</t>
    </r>
  </si>
  <si>
    <r>
      <rPr>
        <i/>
        <sz val="10"/>
        <rFont val="Arial"/>
        <charset val="134"/>
      </rPr>
      <t>**Gas Only**</t>
    </r>
    <r>
      <rPr>
        <sz val="10"/>
        <rFont val="Arial"/>
        <charset val="134"/>
      </rPr>
      <t xml:space="preserve"> Oxidizer Choked Flow Critical Value</t>
    </r>
    <r>
      <rPr>
        <i/>
        <sz val="10"/>
        <rFont val="Arial"/>
        <charset val="134"/>
      </rPr>
      <t>(p*)</t>
    </r>
    <r>
      <rPr>
        <sz val="10"/>
        <rFont val="Arial"/>
        <charset val="134"/>
      </rPr>
      <t>=</t>
    </r>
  </si>
  <si>
    <r>
      <rPr>
        <sz val="10"/>
        <rFont val="Arial"/>
        <charset val="134"/>
      </rPr>
      <t>Density of Coolant</t>
    </r>
    <r>
      <rPr>
        <i/>
        <sz val="10"/>
        <rFont val="Arial"/>
        <charset val="134"/>
      </rPr>
      <t xml:space="preserve"> (ρ) =</t>
    </r>
  </si>
  <si>
    <r>
      <rPr>
        <i/>
        <sz val="10"/>
        <rFont val="Arial"/>
        <charset val="134"/>
      </rPr>
      <t>lb/ft</t>
    </r>
    <r>
      <rPr>
        <i/>
        <vertAlign val="superscript"/>
        <sz val="10"/>
        <rFont val="Arial"/>
        <charset val="134"/>
      </rPr>
      <t>3</t>
    </r>
  </si>
  <si>
    <r>
      <rPr>
        <sz val="10"/>
        <rFont val="Arial"/>
        <charset val="134"/>
      </rPr>
      <t>inches</t>
    </r>
    <r>
      <rPr>
        <vertAlign val="superscript"/>
        <sz val="10"/>
        <rFont val="Arial"/>
        <charset val="134"/>
      </rPr>
      <t>3</t>
    </r>
  </si>
  <si>
    <t>**Gas Only** Fuel Minimum Choked Flow psia =</t>
  </si>
  <si>
    <t>Constant (C1)=</t>
  </si>
  <si>
    <r>
      <rPr>
        <sz val="10"/>
        <rFont val="Arial"/>
        <charset val="134"/>
      </rPr>
      <t xml:space="preserve">Chamber Characteristic Length </t>
    </r>
    <r>
      <rPr>
        <i/>
        <sz val="10"/>
        <rFont val="Arial"/>
        <charset val="134"/>
      </rPr>
      <t>(L*)</t>
    </r>
    <r>
      <rPr>
        <sz val="10"/>
        <rFont val="Arial"/>
        <charset val="134"/>
      </rPr>
      <t xml:space="preserve"> =</t>
    </r>
  </si>
  <si>
    <t>**Gas Only** Oxidizer Minimum Choked Flow psia =</t>
  </si>
  <si>
    <r>
      <rPr>
        <sz val="10"/>
        <rFont val="Arial"/>
        <charset val="134"/>
      </rPr>
      <t xml:space="preserve">*Experimental* Coolant Viscosity at bulk temp </t>
    </r>
    <r>
      <rPr>
        <i/>
        <sz val="10"/>
        <rFont val="Arial"/>
        <charset val="134"/>
      </rPr>
      <t>(µ) =</t>
    </r>
  </si>
  <si>
    <t>lb/in-s</t>
  </si>
  <si>
    <r>
      <rPr>
        <i/>
        <sz val="10"/>
        <rFont val="Arial"/>
        <charset val="134"/>
      </rPr>
      <t>**Gas Only**</t>
    </r>
    <r>
      <rPr>
        <sz val="10"/>
        <rFont val="Arial"/>
        <charset val="134"/>
      </rPr>
      <t xml:space="preserve"> Fuel is Flow Choked? =</t>
    </r>
  </si>
  <si>
    <r>
      <rPr>
        <sz val="10"/>
        <rFont val="Arial"/>
        <charset val="134"/>
      </rPr>
      <t>*Experimental * Coolant Viscosity at sidewall temp</t>
    </r>
    <r>
      <rPr>
        <i/>
        <sz val="10"/>
        <rFont val="Arial"/>
        <charset val="134"/>
      </rPr>
      <t xml:space="preserve"> (µ</t>
    </r>
    <r>
      <rPr>
        <i/>
        <vertAlign val="subscript"/>
        <sz val="10"/>
        <rFont val="Arial"/>
        <charset val="134"/>
      </rPr>
      <t>w</t>
    </r>
    <r>
      <rPr>
        <i/>
        <sz val="10"/>
        <rFont val="Arial"/>
        <charset val="134"/>
      </rPr>
      <t>) =</t>
    </r>
  </si>
  <si>
    <t>Nozzle Throat Area =</t>
  </si>
  <si>
    <r>
      <rPr>
        <i/>
        <sz val="10"/>
        <rFont val="Arial"/>
        <charset val="134"/>
      </rPr>
      <t>**Gas Only**</t>
    </r>
    <r>
      <rPr>
        <sz val="10"/>
        <rFont val="Arial"/>
        <charset val="134"/>
      </rPr>
      <t xml:space="preserve"> Oxidizer is Flow Choked? =</t>
    </r>
  </si>
  <si>
    <r>
      <rPr>
        <sz val="10"/>
        <rFont val="Arial"/>
        <charset val="134"/>
      </rPr>
      <t xml:space="preserve">*Experimental* Coolant Specific Heat </t>
    </r>
    <r>
      <rPr>
        <i/>
        <sz val="10"/>
        <rFont val="Arial"/>
        <charset val="134"/>
      </rPr>
      <t>(C</t>
    </r>
    <r>
      <rPr>
        <i/>
        <vertAlign val="subscript"/>
        <sz val="10"/>
        <rFont val="Arial"/>
        <charset val="134"/>
      </rPr>
      <t>cp</t>
    </r>
    <r>
      <rPr>
        <i/>
        <sz val="10"/>
        <rFont val="Arial"/>
        <charset val="134"/>
      </rPr>
      <t>) =</t>
    </r>
  </si>
  <si>
    <t>kJ/(kg·K)</t>
  </si>
  <si>
    <t xml:space="preserve">Nozzle Throat Area = </t>
  </si>
  <si>
    <r>
      <rPr>
        <sz val="10"/>
        <rFont val="Arial"/>
        <charset val="134"/>
      </rPr>
      <t>Fuel Coefficient of Discharge (</t>
    </r>
    <r>
      <rPr>
        <i/>
        <sz val="10"/>
        <rFont val="Arial"/>
        <charset val="134"/>
      </rPr>
      <t>C</t>
    </r>
    <r>
      <rPr>
        <i/>
        <vertAlign val="subscript"/>
        <sz val="10"/>
        <rFont val="Arial"/>
        <charset val="134"/>
      </rPr>
      <t>d</t>
    </r>
    <r>
      <rPr>
        <sz val="10"/>
        <rFont val="Arial"/>
        <charset val="134"/>
      </rPr>
      <t xml:space="preserve">) = </t>
    </r>
  </si>
  <si>
    <t>dimensionless</t>
  </si>
  <si>
    <r>
      <rPr>
        <i/>
        <sz val="10"/>
        <rFont val="Arial"/>
        <charset val="134"/>
      </rPr>
      <t>Btu/lb-</t>
    </r>
    <r>
      <rPr>
        <i/>
        <vertAlign val="superscript"/>
        <sz val="10"/>
        <rFont val="Arial"/>
        <charset val="134"/>
      </rPr>
      <t>o</t>
    </r>
    <r>
      <rPr>
        <i/>
        <sz val="10"/>
        <rFont val="Arial"/>
        <charset val="134"/>
      </rPr>
      <t>F</t>
    </r>
  </si>
  <si>
    <t>angle (initial)</t>
  </si>
  <si>
    <t>b=</t>
  </si>
  <si>
    <t>Nozzle Throat Diameter =</t>
  </si>
  <si>
    <r>
      <rPr>
        <sz val="10"/>
        <rFont val="Arial"/>
        <charset val="134"/>
      </rPr>
      <t>Oxidizer Coefficient of Discharge (</t>
    </r>
    <r>
      <rPr>
        <i/>
        <sz val="10"/>
        <rFont val="Arial"/>
        <charset val="134"/>
      </rPr>
      <t>C</t>
    </r>
    <r>
      <rPr>
        <i/>
        <vertAlign val="subscript"/>
        <sz val="10"/>
        <rFont val="Arial"/>
        <charset val="134"/>
      </rPr>
      <t>d</t>
    </r>
    <r>
      <rPr>
        <sz val="10"/>
        <rFont val="Arial"/>
        <charset val="134"/>
      </rPr>
      <t xml:space="preserve">) = </t>
    </r>
  </si>
  <si>
    <r>
      <rPr>
        <sz val="10"/>
        <rFont val="Arial"/>
        <charset val="134"/>
      </rPr>
      <t>*Experimental* Coolant Thermal Conductivity</t>
    </r>
    <r>
      <rPr>
        <i/>
        <sz val="10"/>
        <rFont val="Arial"/>
        <charset val="134"/>
      </rPr>
      <t xml:space="preserve"> (k) =</t>
    </r>
  </si>
  <si>
    <r>
      <rPr>
        <i/>
        <sz val="10"/>
        <rFont val="Arial"/>
        <charset val="134"/>
      </rPr>
      <t>Btu/in</t>
    </r>
    <r>
      <rPr>
        <i/>
        <vertAlign val="superscript"/>
        <sz val="10"/>
        <rFont val="Arial"/>
        <charset val="134"/>
      </rPr>
      <t>2</t>
    </r>
    <r>
      <rPr>
        <i/>
        <sz val="10"/>
        <rFont val="Arial"/>
        <charset val="134"/>
      </rPr>
      <t>-</t>
    </r>
    <r>
      <rPr>
        <i/>
        <vertAlign val="superscript"/>
        <sz val="10"/>
        <rFont val="Arial"/>
        <charset val="134"/>
      </rPr>
      <t>o</t>
    </r>
    <r>
      <rPr>
        <i/>
        <sz val="10"/>
        <rFont val="Arial"/>
        <charset val="134"/>
      </rPr>
      <t>F/in</t>
    </r>
  </si>
  <si>
    <t xml:space="preserve">Nozzle Throat Diameter = </t>
  </si>
  <si>
    <r>
      <rPr>
        <i/>
        <sz val="10"/>
        <rFont val="Arial"/>
        <charset val="134"/>
      </rPr>
      <t>**Gas Only**</t>
    </r>
    <r>
      <rPr>
        <sz val="10"/>
        <rFont val="Arial"/>
        <charset val="134"/>
      </rPr>
      <t xml:space="preserve"> Fuel Molecular Mass </t>
    </r>
    <r>
      <rPr>
        <i/>
        <sz val="10"/>
        <rFont val="Arial"/>
        <charset val="134"/>
      </rPr>
      <t>(M</t>
    </r>
    <r>
      <rPr>
        <i/>
        <vertAlign val="subscript"/>
        <sz val="10"/>
        <rFont val="Arial"/>
        <charset val="134"/>
      </rPr>
      <t>f</t>
    </r>
    <r>
      <rPr>
        <i/>
        <sz val="10"/>
        <rFont val="Arial"/>
        <charset val="134"/>
      </rPr>
      <t>)</t>
    </r>
    <r>
      <rPr>
        <sz val="10"/>
        <rFont val="Arial"/>
        <charset val="134"/>
      </rPr>
      <t>=</t>
    </r>
  </si>
  <si>
    <t>mol</t>
  </si>
  <si>
    <t>Coolant Tube Diameter Derived from Sieder Tate (d)</t>
  </si>
  <si>
    <t>Nozzle Throat Length =</t>
  </si>
  <si>
    <r>
      <rPr>
        <i/>
        <sz val="10"/>
        <rFont val="Arial"/>
        <charset val="134"/>
      </rPr>
      <t xml:space="preserve">**Gas Only** </t>
    </r>
    <r>
      <rPr>
        <sz val="10"/>
        <rFont val="Arial"/>
        <charset val="134"/>
      </rPr>
      <t xml:space="preserve">Oxidizer Molecular Mass </t>
    </r>
    <r>
      <rPr>
        <i/>
        <sz val="10"/>
        <rFont val="Arial"/>
        <charset val="134"/>
      </rPr>
      <t>(M</t>
    </r>
    <r>
      <rPr>
        <i/>
        <vertAlign val="subscript"/>
        <sz val="10"/>
        <rFont val="Arial"/>
        <charset val="134"/>
      </rPr>
      <t>o</t>
    </r>
    <r>
      <rPr>
        <i/>
        <sz val="10"/>
        <rFont val="Arial"/>
        <charset val="134"/>
      </rPr>
      <t>)</t>
    </r>
    <r>
      <rPr>
        <sz val="10"/>
        <rFont val="Arial"/>
        <charset val="134"/>
      </rPr>
      <t xml:space="preserve"> =</t>
    </r>
  </si>
  <si>
    <t>mm</t>
  </si>
  <si>
    <r>
      <rPr>
        <i/>
        <sz val="10"/>
        <rFont val="Arial"/>
        <charset val="134"/>
      </rPr>
      <t>**Gas Only**</t>
    </r>
    <r>
      <rPr>
        <sz val="10"/>
        <rFont val="Arial"/>
        <charset val="134"/>
      </rPr>
      <t xml:space="preserve"> Fuel Temperature at Injection </t>
    </r>
    <r>
      <rPr>
        <i/>
        <sz val="10"/>
        <rFont val="Arial"/>
        <charset val="134"/>
      </rPr>
      <t>(t</t>
    </r>
    <r>
      <rPr>
        <i/>
        <vertAlign val="subscript"/>
        <sz val="10"/>
        <rFont val="Arial"/>
        <charset val="134"/>
      </rPr>
      <t>f</t>
    </r>
    <r>
      <rPr>
        <i/>
        <sz val="10"/>
        <rFont val="Arial"/>
        <charset val="134"/>
      </rPr>
      <t>)</t>
    </r>
    <r>
      <rPr>
        <sz val="10"/>
        <rFont val="Arial"/>
        <charset val="134"/>
      </rPr>
      <t xml:space="preserve"> =</t>
    </r>
  </si>
  <si>
    <r>
      <rPr>
        <sz val="10"/>
        <rFont val="Arial"/>
        <charset val="134"/>
      </rPr>
      <t>Coolent Tube Area</t>
    </r>
    <r>
      <rPr>
        <i/>
        <sz val="10"/>
        <rFont val="Arial"/>
        <charset val="134"/>
      </rPr>
      <t xml:space="preserve"> (a) =</t>
    </r>
  </si>
  <si>
    <t>Nozzle Exit Area =</t>
  </si>
  <si>
    <r>
      <rPr>
        <i/>
        <sz val="10"/>
        <rFont val="Arial"/>
        <charset val="134"/>
      </rPr>
      <t xml:space="preserve">**Gas Only** Oxidizer </t>
    </r>
    <r>
      <rPr>
        <sz val="10"/>
        <rFont val="Arial"/>
        <charset val="134"/>
      </rPr>
      <t xml:space="preserve">Temperature at Injection </t>
    </r>
    <r>
      <rPr>
        <i/>
        <sz val="10"/>
        <rFont val="Arial"/>
        <charset val="134"/>
      </rPr>
      <t>(t</t>
    </r>
    <r>
      <rPr>
        <i/>
        <vertAlign val="subscript"/>
        <sz val="10"/>
        <rFont val="Arial"/>
        <charset val="134"/>
      </rPr>
      <t>o</t>
    </r>
    <r>
      <rPr>
        <i/>
        <sz val="10"/>
        <rFont val="Arial"/>
        <charset val="134"/>
      </rPr>
      <t>)</t>
    </r>
    <r>
      <rPr>
        <sz val="10"/>
        <rFont val="Arial"/>
        <charset val="134"/>
      </rPr>
      <t xml:space="preserve"> =</t>
    </r>
  </si>
  <si>
    <r>
      <rPr>
        <i/>
        <sz val="10"/>
        <rFont val="Arial"/>
        <charset val="134"/>
      </rPr>
      <t>mm</t>
    </r>
    <r>
      <rPr>
        <i/>
        <vertAlign val="superscript"/>
        <sz val="10"/>
        <rFont val="Arial"/>
        <charset val="134"/>
      </rPr>
      <t>2</t>
    </r>
  </si>
  <si>
    <r>
      <rPr>
        <sz val="10"/>
        <rFont val="Arial"/>
        <charset val="134"/>
      </rPr>
      <t>Fuel Orifice Area (</t>
    </r>
    <r>
      <rPr>
        <i/>
        <sz val="10"/>
        <rFont val="Arial"/>
        <charset val="134"/>
      </rPr>
      <t>A</t>
    </r>
    <r>
      <rPr>
        <i/>
        <vertAlign val="subscript"/>
        <sz val="10"/>
        <rFont val="Arial"/>
        <charset val="134"/>
      </rPr>
      <t>f</t>
    </r>
    <r>
      <rPr>
        <sz val="10"/>
        <rFont val="Arial"/>
        <charset val="134"/>
      </rPr>
      <t xml:space="preserve">) = </t>
    </r>
  </si>
  <si>
    <r>
      <rPr>
        <sz val="10"/>
        <rFont val="Arial"/>
        <charset val="134"/>
      </rPr>
      <t>m</t>
    </r>
    <r>
      <rPr>
        <vertAlign val="superscript"/>
        <sz val="10"/>
        <rFont val="Arial"/>
        <charset val="134"/>
      </rPr>
      <t>2</t>
    </r>
  </si>
  <si>
    <r>
      <rPr>
        <i/>
        <sz val="10"/>
        <rFont val="Arial"/>
        <charset val="134"/>
      </rPr>
      <t>Coolent Velocity (V</t>
    </r>
    <r>
      <rPr>
        <i/>
        <vertAlign val="subscript"/>
        <sz val="10"/>
        <rFont val="Arial"/>
        <charset val="134"/>
      </rPr>
      <t>co</t>
    </r>
    <r>
      <rPr>
        <i/>
        <sz val="10"/>
        <rFont val="Arial"/>
        <charset val="134"/>
      </rPr>
      <t>) =</t>
    </r>
  </si>
  <si>
    <t>ft/sec</t>
  </si>
  <si>
    <t>Nozzle Exit Diameter =</t>
  </si>
  <si>
    <r>
      <rPr>
        <sz val="10"/>
        <rFont val="Arial"/>
        <charset val="134"/>
      </rPr>
      <t>in</t>
    </r>
    <r>
      <rPr>
        <vertAlign val="superscript"/>
        <sz val="10"/>
        <rFont val="Arial"/>
        <charset val="134"/>
      </rPr>
      <t>2</t>
    </r>
  </si>
  <si>
    <r>
      <rPr>
        <sz val="10"/>
        <rFont val="Arial"/>
        <charset val="134"/>
      </rPr>
      <t xml:space="preserve">Fuel Orifice Diameter </t>
    </r>
    <r>
      <rPr>
        <sz val="10"/>
        <rFont val="Arial"/>
        <charset val="134"/>
      </rPr>
      <t xml:space="preserve">= </t>
    </r>
  </si>
  <si>
    <r>
      <rPr>
        <sz val="10"/>
        <rFont val="Arial"/>
        <charset val="134"/>
      </rPr>
      <t>m</t>
    </r>
  </si>
  <si>
    <r>
      <rPr>
        <sz val="10"/>
        <rFont val="Arial"/>
        <charset val="134"/>
      </rPr>
      <t>Max Coolent Capacticy</t>
    </r>
    <r>
      <rPr>
        <i/>
        <sz val="10"/>
        <rFont val="Arial"/>
        <charset val="134"/>
      </rPr>
      <t xml:space="preserve"> (Qmax) =</t>
    </r>
  </si>
  <si>
    <t>Btu/s</t>
  </si>
  <si>
    <r>
      <rPr>
        <sz val="10"/>
        <rFont val="Arial"/>
        <charset val="134"/>
      </rPr>
      <t xml:space="preserve">Nozzle Cone Diverence Half Angle </t>
    </r>
    <r>
      <rPr>
        <i/>
        <sz val="10"/>
        <rFont val="Arial"/>
        <charset val="134"/>
      </rPr>
      <t>(α)</t>
    </r>
    <r>
      <rPr>
        <sz val="10"/>
        <rFont val="Arial"/>
        <charset val="134"/>
      </rPr>
      <t xml:space="preserve"> =</t>
    </r>
  </si>
  <si>
    <r>
      <rPr>
        <sz val="10"/>
        <rFont val="Arial"/>
        <charset val="134"/>
      </rPr>
      <t>in</t>
    </r>
  </si>
  <si>
    <t>kW</t>
  </si>
  <si>
    <t>Nozzle Length =</t>
  </si>
  <si>
    <r>
      <rPr>
        <sz val="10"/>
        <rFont val="Arial"/>
        <charset val="134"/>
      </rPr>
      <t>Oxidizer Orifice Area (</t>
    </r>
    <r>
      <rPr>
        <i/>
        <sz val="10"/>
        <rFont val="Arial"/>
        <charset val="134"/>
      </rPr>
      <t>A</t>
    </r>
    <r>
      <rPr>
        <i/>
        <vertAlign val="subscript"/>
        <sz val="10"/>
        <rFont val="Arial"/>
        <charset val="134"/>
      </rPr>
      <t>o</t>
    </r>
    <r>
      <rPr>
        <sz val="10"/>
        <rFont val="Arial"/>
        <charset val="134"/>
      </rPr>
      <t xml:space="preserve">) = </t>
    </r>
  </si>
  <si>
    <r>
      <rPr>
        <sz val="10"/>
        <rFont val="Arial"/>
        <charset val="134"/>
      </rPr>
      <t>Acutal Heat Transferred to the Coolent Capacticy</t>
    </r>
    <r>
      <rPr>
        <i/>
        <sz val="10"/>
        <rFont val="Arial"/>
        <charset val="134"/>
      </rPr>
      <t xml:space="preserve"> (Q</t>
    </r>
    <r>
      <rPr>
        <i/>
        <vertAlign val="subscript"/>
        <sz val="10"/>
        <rFont val="Arial"/>
        <charset val="134"/>
      </rPr>
      <t>actual</t>
    </r>
    <r>
      <rPr>
        <i/>
        <sz val="10"/>
        <rFont val="Arial"/>
        <charset val="134"/>
      </rPr>
      <t>) =</t>
    </r>
  </si>
  <si>
    <t>angle (final)</t>
  </si>
  <si>
    <t>initial angle (c)=</t>
  </si>
  <si>
    <r>
      <rPr>
        <sz val="10"/>
        <rFont val="Arial"/>
        <charset val="134"/>
      </rPr>
      <t xml:space="preserve">Nozzle Frustm Length </t>
    </r>
    <r>
      <rPr>
        <i/>
        <sz val="10"/>
        <rFont val="Arial"/>
        <charset val="134"/>
      </rPr>
      <t>(N</t>
    </r>
    <r>
      <rPr>
        <i/>
        <vertAlign val="subscript"/>
        <sz val="10"/>
        <rFont val="Arial"/>
        <charset val="134"/>
      </rPr>
      <t>c</t>
    </r>
    <r>
      <rPr>
        <i/>
        <sz val="10"/>
        <rFont val="Arial"/>
        <charset val="134"/>
      </rPr>
      <t>)</t>
    </r>
    <r>
      <rPr>
        <sz val="10"/>
        <rFont val="Arial"/>
        <charset val="134"/>
      </rPr>
      <t xml:space="preserve"> =</t>
    </r>
  </si>
  <si>
    <t xml:space="preserve">Oxidizer Orifice Diameter = </t>
  </si>
  <si>
    <r>
      <rPr>
        <sz val="10"/>
        <rFont val="Arial"/>
        <charset val="134"/>
      </rPr>
      <t>Bulk Temperature increase of Coolent after passing through the cooling jacket (T</t>
    </r>
    <r>
      <rPr>
        <vertAlign val="subscript"/>
        <sz val="10"/>
        <rFont val="Arial"/>
        <charset val="134"/>
      </rPr>
      <t>increase</t>
    </r>
    <r>
      <rPr>
        <sz val="10"/>
        <rFont val="Arial"/>
        <charset val="134"/>
      </rPr>
      <t>) =</t>
    </r>
  </si>
  <si>
    <t>Chamber Wall Thickness =</t>
  </si>
  <si>
    <r>
      <rPr>
        <sz val="10"/>
        <rFont val="Arial"/>
        <charset val="134"/>
      </rPr>
      <t>Coolent Temp after leaving the cooling jacket (T</t>
    </r>
    <r>
      <rPr>
        <vertAlign val="subscript"/>
        <sz val="10"/>
        <rFont val="Arial"/>
        <charset val="134"/>
      </rPr>
      <t>exit</t>
    </r>
    <r>
      <rPr>
        <sz val="10"/>
        <rFont val="Arial"/>
        <charset val="134"/>
      </rPr>
      <t>) =</t>
    </r>
  </si>
  <si>
    <t>angle (mid)</t>
  </si>
  <si>
    <t>angle (mid) =</t>
  </si>
  <si>
    <r>
      <rPr>
        <b/>
        <sz val="10"/>
        <rFont val="Arial"/>
        <charset val="134"/>
      </rPr>
      <t>Specific Impulse (</t>
    </r>
    <r>
      <rPr>
        <b/>
        <i/>
        <sz val="10"/>
        <rFont val="Arial"/>
        <charset val="134"/>
      </rPr>
      <t>I</t>
    </r>
    <r>
      <rPr>
        <b/>
        <i/>
        <vertAlign val="subscript"/>
        <sz val="10"/>
        <rFont val="Arial"/>
        <charset val="134"/>
      </rPr>
      <t>s-avg</t>
    </r>
    <r>
      <rPr>
        <b/>
        <sz val="10"/>
        <rFont val="Arial"/>
        <charset val="134"/>
      </rPr>
      <t>)=</t>
    </r>
  </si>
  <si>
    <t>angle (y)</t>
  </si>
  <si>
    <t>quadratic</t>
  </si>
  <si>
    <t xml:space="preserve"> </t>
  </si>
  <si>
    <t>L*</t>
  </si>
  <si>
    <t>Igniter Dimmensions (excluding cap):</t>
  </si>
  <si>
    <t>mm where appropriate</t>
  </si>
  <si>
    <t>overall length =</t>
  </si>
  <si>
    <t>flanage diameter =</t>
  </si>
  <si>
    <t xml:space="preserve">flanage depth = </t>
  </si>
  <si>
    <t>cap o-ring inter diameter =</t>
  </si>
  <si>
    <t>o-ring outer diameter =</t>
  </si>
  <si>
    <t>bolt hole location =</t>
  </si>
  <si>
    <t>bolt hole thread diameter =</t>
  </si>
  <si>
    <t>bolt holt thread type =</t>
  </si>
  <si>
    <t>"1/4-28"</t>
  </si>
  <si>
    <t>chamber internal diameter =</t>
  </si>
  <si>
    <t>chamber external diameter =</t>
  </si>
  <si>
    <t xml:space="preserve">chamber depth = </t>
  </si>
  <si>
    <t>start skinny spot for bolts</t>
  </si>
  <si>
    <t>end skinny diameter for bolts</t>
  </si>
  <si>
    <t>skinny diameter for bolts</t>
  </si>
  <si>
    <t>start fat outer diameter for orfices</t>
  </si>
  <si>
    <t>end fat outer diameter for orfices</t>
  </si>
  <si>
    <t>fat diameter for orfices</t>
  </si>
  <si>
    <t>throat start point =</t>
  </si>
  <si>
    <t>throat end point =</t>
  </si>
  <si>
    <t>throat diameter =</t>
  </si>
  <si>
    <t xml:space="preserve">throat divergence angle = </t>
  </si>
  <si>
    <t xml:space="preserve">throat divergence point = </t>
  </si>
  <si>
    <t xml:space="preserve">throat divergenece length = </t>
  </si>
  <si>
    <t xml:space="preserve">throat exit diameter = </t>
  </si>
  <si>
    <t>divergence tap length =</t>
  </si>
  <si>
    <t>throat divergent external diameter =</t>
  </si>
  <si>
    <t>throat external thread type =</t>
  </si>
  <si>
    <t>"1/2-20"</t>
  </si>
  <si>
    <t>thread o-ring inter diameter =</t>
  </si>
  <si>
    <t>thread o-ring outer diameter =</t>
  </si>
  <si>
    <t>igniter cap dimmensions:</t>
  </si>
  <si>
    <t>cap diameter =</t>
  </si>
  <si>
    <t>cap height =</t>
  </si>
  <si>
    <t>Orifice locations along chamber:</t>
  </si>
  <si>
    <t>fuel/ox/igniter orifice locations</t>
  </si>
  <si>
    <t>pressure orifice location</t>
  </si>
  <si>
    <t>fuel/ox/pressure thread diameter</t>
  </si>
  <si>
    <t>inches (Type R drill)</t>
  </si>
  <si>
    <t>fuel/oxpressure thread type</t>
  </si>
  <si>
    <t>1/8"-27</t>
  </si>
  <si>
    <t>NPT</t>
  </si>
  <si>
    <t>igniter thread type</t>
  </si>
  <si>
    <t>M10x1</t>
  </si>
  <si>
    <t>igniter thread diameter</t>
  </si>
  <si>
    <t>igniter thread depth</t>
  </si>
  <si>
    <t>igniter outer diameter</t>
  </si>
</sst>
</file>

<file path=xl/styles.xml><?xml version="1.0" encoding="utf-8"?>
<styleSheet xmlns="http://schemas.openxmlformats.org/spreadsheetml/2006/main">
  <numFmts count="24">
    <numFmt numFmtId="176" formatCode="#,##0.0000000000000"/>
    <numFmt numFmtId="177" formatCode="#,##0.000000000"/>
    <numFmt numFmtId="42" formatCode="_(&quot;$&quot;* #,##0_);_(&quot;$&quot;* \(#,##0\);_(&quot;$&quot;* &quot;-&quot;_);_(@_)"/>
    <numFmt numFmtId="178" formatCode="0.0000"/>
    <numFmt numFmtId="179" formatCode="#,##0.000000000000000"/>
    <numFmt numFmtId="180" formatCode="#,##0.0000000"/>
    <numFmt numFmtId="181" formatCode="0.000"/>
    <numFmt numFmtId="182" formatCode="#,##0.00000"/>
    <numFmt numFmtId="183" formatCode="#,##0.0000"/>
    <numFmt numFmtId="184" formatCode="_ * #,##0.00_)\ _$_ ;_ * \(#,##0.00\)\ _$_ ;_ * &quot;-&quot;??_)\ _$_ ;_ @_ "/>
    <numFmt numFmtId="185" formatCode="0.0000000000"/>
    <numFmt numFmtId="186" formatCode="0.000000000000000"/>
    <numFmt numFmtId="187" formatCode="0.000000"/>
    <numFmt numFmtId="44" formatCode="_(&quot;$&quot;* #,##0.00_);_(&quot;$&quot;* \(#,##0.00\);_(&quot;$&quot;* &quot;-&quot;??_);_(@_)"/>
    <numFmt numFmtId="188" formatCode="0.00000000000000"/>
    <numFmt numFmtId="189" formatCode="0.00000000"/>
    <numFmt numFmtId="190" formatCode="0.000000000"/>
    <numFmt numFmtId="191" formatCode="_ * #,##0_ ;_ * \-#,##0_ ;_ * &quot;-&quot;_ ;_ @_ "/>
    <numFmt numFmtId="192" formatCode="0.00000"/>
    <numFmt numFmtId="193" formatCode="#,##0.000000"/>
    <numFmt numFmtId="194" formatCode="0.000000%"/>
    <numFmt numFmtId="195" formatCode="0.00000000000"/>
    <numFmt numFmtId="196" formatCode="#,##0.00000000"/>
    <numFmt numFmtId="197" formatCode="#,##0.000"/>
  </numFmts>
  <fonts count="37">
    <font>
      <sz val="10"/>
      <name val="Arial"/>
      <charset val="134"/>
    </font>
    <font>
      <b/>
      <sz val="10"/>
      <name val="Arial"/>
      <charset val="134"/>
    </font>
    <font>
      <i/>
      <sz val="10"/>
      <color rgb="FFFF0000"/>
      <name val="Arial"/>
      <charset val="134"/>
    </font>
    <font>
      <b/>
      <sz val="14"/>
      <name val="Arial"/>
      <charset val="134"/>
    </font>
    <font>
      <i/>
      <sz val="12"/>
      <name val="Arial"/>
      <charset val="134"/>
    </font>
    <font>
      <u/>
      <sz val="10"/>
      <color rgb="FF800080"/>
      <name val="Arial"/>
      <charset val="134"/>
    </font>
    <font>
      <i/>
      <sz val="10"/>
      <name val="Arial"/>
      <charset val="134"/>
    </font>
    <font>
      <u/>
      <sz val="10"/>
      <color indexed="12"/>
      <name val="Arial"/>
      <charset val="134"/>
    </font>
    <font>
      <sz val="11"/>
      <color theme="1"/>
      <name val="Calibri"/>
      <charset val="134"/>
      <scheme val="minor"/>
    </font>
    <font>
      <b/>
      <i/>
      <sz val="10"/>
      <name val="Arial"/>
      <charset val="134"/>
    </font>
    <font>
      <b/>
      <sz val="11"/>
      <name val="Arial"/>
      <charset val="134"/>
    </font>
    <font>
      <sz val="11"/>
      <color theme="1"/>
      <name val="Calibri"/>
      <charset val="0"/>
      <scheme val="minor"/>
    </font>
    <font>
      <b/>
      <sz val="13"/>
      <color theme="3"/>
      <name val="Calibri"/>
      <charset val="134"/>
      <scheme val="minor"/>
    </font>
    <font>
      <sz val="11"/>
      <color theme="0"/>
      <name val="Calibri"/>
      <charset val="0"/>
      <scheme val="minor"/>
    </font>
    <font>
      <b/>
      <sz val="11"/>
      <color theme="3"/>
      <name val="Calibri"/>
      <charset val="134"/>
      <scheme val="minor"/>
    </font>
    <font>
      <b/>
      <sz val="11"/>
      <color rgb="FFFFFFFF"/>
      <name val="Calibri"/>
      <charset val="0"/>
      <scheme val="minor"/>
    </font>
    <font>
      <b/>
      <sz val="11"/>
      <color rgb="FFFA7D00"/>
      <name val="Calibri"/>
      <charset val="0"/>
      <scheme val="minor"/>
    </font>
    <font>
      <sz val="11"/>
      <color rgb="FF3F3F76"/>
      <name val="Calibri"/>
      <charset val="0"/>
      <scheme val="minor"/>
    </font>
    <font>
      <u/>
      <sz val="11"/>
      <color rgb="FF800080"/>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b/>
      <sz val="18"/>
      <color theme="3"/>
      <name val="Calibri"/>
      <charset val="134"/>
      <scheme val="minor"/>
    </font>
    <font>
      <sz val="11"/>
      <color rgb="FF006100"/>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
      <u/>
      <sz val="11"/>
      <color theme="10"/>
      <name val="Calibri"/>
      <charset val="134"/>
      <scheme val="minor"/>
    </font>
    <font>
      <b/>
      <sz val="11"/>
      <color theme="1"/>
      <name val="Calibri"/>
      <charset val="0"/>
      <scheme val="minor"/>
    </font>
    <font>
      <sz val="11"/>
      <color rgb="FF9C0006"/>
      <name val="Calibri"/>
      <charset val="0"/>
      <scheme val="minor"/>
    </font>
    <font>
      <i/>
      <u/>
      <sz val="10"/>
      <color rgb="FF800080"/>
      <name val="Arial"/>
      <charset val="134"/>
    </font>
    <font>
      <i/>
      <vertAlign val="subscript"/>
      <sz val="10"/>
      <name val="Arial"/>
      <charset val="134"/>
    </font>
    <font>
      <vertAlign val="superscript"/>
      <sz val="10"/>
      <name val="Arial"/>
      <charset val="134"/>
    </font>
    <font>
      <i/>
      <vertAlign val="superscript"/>
      <sz val="10"/>
      <name val="Arial"/>
      <charset val="134"/>
    </font>
    <font>
      <vertAlign val="subscript"/>
      <sz val="10"/>
      <name val="Arial"/>
      <charset val="134"/>
    </font>
    <font>
      <i/>
      <u/>
      <sz val="10"/>
      <color indexed="12"/>
      <name val="Arial"/>
      <charset val="134"/>
    </font>
    <font>
      <b/>
      <i/>
      <vertAlign val="subscript"/>
      <sz val="10"/>
      <name val="Arial"/>
      <charset val="134"/>
    </font>
  </fonts>
  <fills count="48">
    <fill>
      <patternFill patternType="none"/>
    </fill>
    <fill>
      <patternFill patternType="gray125"/>
    </fill>
    <fill>
      <patternFill patternType="solid">
        <fgColor theme="0" tint="-0.0499893185216834"/>
        <bgColor indexed="64"/>
      </patternFill>
    </fill>
    <fill>
      <patternFill patternType="solid">
        <fgColor indexed="43"/>
        <bgColor indexed="64"/>
      </patternFill>
    </fill>
    <fill>
      <patternFill patternType="solid">
        <fgColor rgb="FFFFFF99"/>
        <bgColor indexed="64"/>
      </patternFill>
    </fill>
    <fill>
      <patternFill patternType="solid">
        <fgColor theme="0" tint="-0.249977111117893"/>
        <bgColor indexed="64"/>
      </patternFill>
    </fill>
    <fill>
      <patternFill patternType="solid">
        <fgColor theme="0" tint="-0.149998474074526"/>
        <bgColor indexed="64"/>
      </patternFill>
    </fill>
    <fill>
      <patternFill patternType="solid">
        <fgColor rgb="FFFFFFA7"/>
        <bgColor indexed="64"/>
      </patternFill>
    </fill>
    <fill>
      <patternFill patternType="solid">
        <fgColor rgb="FF99CC00"/>
        <bgColor indexed="64"/>
      </patternFill>
    </fill>
    <fill>
      <patternFill patternType="solid">
        <fgColor rgb="FFA5D773"/>
        <bgColor indexed="64"/>
      </patternFill>
    </fill>
    <fill>
      <patternFill patternType="solid">
        <fgColor theme="0" tint="-0.349986266670736"/>
        <bgColor indexed="64"/>
      </patternFill>
    </fill>
    <fill>
      <patternFill patternType="solid">
        <fgColor theme="1"/>
        <bgColor indexed="64"/>
      </patternFill>
    </fill>
    <fill>
      <patternFill patternType="solid">
        <fgColor indexed="50"/>
        <bgColor indexed="64"/>
      </patternFill>
    </fill>
    <fill>
      <patternFill patternType="solid">
        <fgColor theme="9" tint="0.399975585192419"/>
        <bgColor indexed="64"/>
      </patternFill>
    </fill>
    <fill>
      <patternFill patternType="solid">
        <fgColor rgb="FFFFFF66"/>
        <bgColor indexed="64"/>
      </patternFill>
    </fill>
    <fill>
      <patternFill patternType="solid">
        <fgColor rgb="FFFFFF81"/>
        <bgColor indexed="64"/>
      </patternFill>
    </fill>
    <fill>
      <patternFill patternType="solid">
        <fgColor theme="8" tint="0.599993896298105"/>
        <bgColor indexed="64"/>
      </patternFill>
    </fill>
    <fill>
      <patternFill patternType="solid">
        <fgColor theme="6"/>
        <bgColor indexed="64"/>
      </patternFill>
    </fill>
    <fill>
      <patternFill patternType="solid">
        <fgColor rgb="FF92D050"/>
        <bgColor indexed="64"/>
      </patternFill>
    </fill>
    <fill>
      <patternFill patternType="solid">
        <fgColor theme="6" tint="0.6"/>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5"/>
        <bgColor indexed="64"/>
      </patternFill>
    </fill>
  </fills>
  <borders count="4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0" fontId="11" fillId="24" borderId="0" applyNumberFormat="0" applyBorder="0" applyAlignment="0" applyProtection="0">
      <alignment vertical="center"/>
    </xf>
    <xf numFmtId="184" fontId="0" fillId="0" borderId="0" applyFont="0" applyFill="0" applyBorder="0" applyAlignment="0" applyProtection="0"/>
    <xf numFmtId="191"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0" fillId="0" borderId="0" applyFont="0" applyFill="0" applyBorder="0" applyAlignment="0" applyProtection="0"/>
    <xf numFmtId="0" fontId="15" fillId="22" borderId="36" applyNumberFormat="0" applyAlignment="0" applyProtection="0">
      <alignment vertical="center"/>
    </xf>
    <xf numFmtId="0" fontId="12" fillId="0" borderId="35" applyNumberFormat="0" applyFill="0" applyAlignment="0" applyProtection="0">
      <alignment vertical="center"/>
    </xf>
    <xf numFmtId="0" fontId="8" fillId="26" borderId="38" applyNumberFormat="0" applyFont="0" applyAlignment="0" applyProtection="0">
      <alignment vertical="center"/>
    </xf>
    <xf numFmtId="0" fontId="7" fillId="0" borderId="0" applyNumberFormat="0" applyFill="0" applyBorder="0" applyAlignment="0" applyProtection="0">
      <alignment vertical="top"/>
      <protection locked="0"/>
    </xf>
    <xf numFmtId="0" fontId="13" fillId="29" borderId="0" applyNumberFormat="0" applyBorder="0" applyAlignment="0" applyProtection="0">
      <alignment vertical="center"/>
    </xf>
    <xf numFmtId="0" fontId="18" fillId="0" borderId="0" applyNumberFormat="0" applyFill="0" applyBorder="0" applyAlignment="0" applyProtection="0">
      <alignment vertical="center"/>
    </xf>
    <xf numFmtId="0" fontId="11" fillId="30" borderId="0" applyNumberFormat="0" applyBorder="0" applyAlignment="0" applyProtection="0">
      <alignment vertical="center"/>
    </xf>
    <xf numFmtId="0" fontId="20" fillId="0" borderId="0" applyNumberFormat="0" applyFill="0" applyBorder="0" applyAlignment="0" applyProtection="0">
      <alignment vertical="center"/>
    </xf>
    <xf numFmtId="0" fontId="11" fillId="28" borderId="0" applyNumberFormat="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35" applyNumberFormat="0" applyFill="0" applyAlignment="0" applyProtection="0">
      <alignment vertical="center"/>
    </xf>
    <xf numFmtId="0" fontId="14" fillId="0" borderId="39" applyNumberFormat="0" applyFill="0" applyAlignment="0" applyProtection="0">
      <alignment vertical="center"/>
    </xf>
    <xf numFmtId="0" fontId="14" fillId="0" borderId="0" applyNumberFormat="0" applyFill="0" applyBorder="0" applyAlignment="0" applyProtection="0">
      <alignment vertical="center"/>
    </xf>
    <xf numFmtId="0" fontId="17" fillId="25" borderId="37" applyNumberFormat="0" applyAlignment="0" applyProtection="0">
      <alignment vertical="center"/>
    </xf>
    <xf numFmtId="0" fontId="13" fillId="21" borderId="0" applyNumberFormat="0" applyBorder="0" applyAlignment="0" applyProtection="0">
      <alignment vertical="center"/>
    </xf>
    <xf numFmtId="0" fontId="23" fillId="32" borderId="0" applyNumberFormat="0" applyBorder="0" applyAlignment="0" applyProtection="0">
      <alignment vertical="center"/>
    </xf>
    <xf numFmtId="0" fontId="24" fillId="23" borderId="40" applyNumberFormat="0" applyAlignment="0" applyProtection="0">
      <alignment vertical="center"/>
    </xf>
    <xf numFmtId="0" fontId="11" fillId="35" borderId="0" applyNumberFormat="0" applyBorder="0" applyAlignment="0" applyProtection="0">
      <alignment vertical="center"/>
    </xf>
    <xf numFmtId="0" fontId="16" fillId="23" borderId="37" applyNumberFormat="0" applyAlignment="0" applyProtection="0">
      <alignment vertical="center"/>
    </xf>
    <xf numFmtId="0" fontId="26" fillId="0" borderId="41" applyNumberFormat="0" applyFill="0" applyAlignment="0" applyProtection="0">
      <alignment vertical="center"/>
    </xf>
    <xf numFmtId="0" fontId="28" fillId="0" borderId="42" applyNumberFormat="0" applyFill="0" applyAlignment="0" applyProtection="0">
      <alignment vertical="center"/>
    </xf>
    <xf numFmtId="0" fontId="29" fillId="39" borderId="0" applyNumberFormat="0" applyBorder="0" applyAlignment="0" applyProtection="0">
      <alignment vertical="center"/>
    </xf>
    <xf numFmtId="0" fontId="25" fillId="36" borderId="0" applyNumberFormat="0" applyBorder="0" applyAlignment="0" applyProtection="0">
      <alignment vertical="center"/>
    </xf>
    <xf numFmtId="0" fontId="13" fillId="42" borderId="0" applyNumberFormat="0" applyBorder="0" applyAlignment="0" applyProtection="0">
      <alignment vertical="center"/>
    </xf>
    <xf numFmtId="0" fontId="8" fillId="0" borderId="0"/>
    <xf numFmtId="0" fontId="11" fillId="44" borderId="0" applyNumberFormat="0" applyBorder="0" applyAlignment="0" applyProtection="0">
      <alignment vertical="center"/>
    </xf>
    <xf numFmtId="0" fontId="13" fillId="33" borderId="0" applyNumberFormat="0" applyBorder="0" applyAlignment="0" applyProtection="0">
      <alignment vertical="center"/>
    </xf>
    <xf numFmtId="0" fontId="13" fillId="47" borderId="0" applyNumberFormat="0" applyBorder="0" applyAlignment="0" applyProtection="0">
      <alignment vertical="center"/>
    </xf>
    <xf numFmtId="0" fontId="11" fillId="38" borderId="0" applyNumberFormat="0" applyBorder="0" applyAlignment="0" applyProtection="0">
      <alignment vertical="center"/>
    </xf>
    <xf numFmtId="0" fontId="8" fillId="0" borderId="0"/>
    <xf numFmtId="0" fontId="11" fillId="37" borderId="0" applyNumberFormat="0" applyBorder="0" applyAlignment="0" applyProtection="0">
      <alignment vertical="center"/>
    </xf>
    <xf numFmtId="0" fontId="13" fillId="27" borderId="0" applyNumberFormat="0" applyBorder="0" applyAlignment="0" applyProtection="0">
      <alignment vertical="center"/>
    </xf>
    <xf numFmtId="0" fontId="13" fillId="17" borderId="0" applyNumberFormat="0" applyBorder="0" applyAlignment="0" applyProtection="0">
      <alignment vertical="center"/>
    </xf>
    <xf numFmtId="0" fontId="11" fillId="43" borderId="0" applyNumberFormat="0" applyBorder="0" applyAlignment="0" applyProtection="0">
      <alignment vertical="center"/>
    </xf>
    <xf numFmtId="0" fontId="13" fillId="34" borderId="0" applyNumberFormat="0" applyBorder="0" applyAlignment="0" applyProtection="0">
      <alignment vertical="center"/>
    </xf>
    <xf numFmtId="0" fontId="11" fillId="31" borderId="0" applyNumberFormat="0" applyBorder="0" applyAlignment="0" applyProtection="0">
      <alignment vertical="center"/>
    </xf>
    <xf numFmtId="0" fontId="11" fillId="20" borderId="0" applyNumberFormat="0" applyBorder="0" applyAlignment="0" applyProtection="0">
      <alignment vertical="center"/>
    </xf>
    <xf numFmtId="9" fontId="0" fillId="0" borderId="0" applyFont="0" applyFill="0" applyBorder="0" applyAlignment="0" applyProtection="0"/>
    <xf numFmtId="0" fontId="13" fillId="41" borderId="0" applyNumberFormat="0" applyBorder="0" applyAlignment="0" applyProtection="0">
      <alignment vertical="center"/>
    </xf>
    <xf numFmtId="0" fontId="11" fillId="16" borderId="0" applyNumberFormat="0" applyBorder="0" applyAlignment="0" applyProtection="0">
      <alignment vertical="center"/>
    </xf>
    <xf numFmtId="0" fontId="13" fillId="40" borderId="0" applyNumberFormat="0" applyBorder="0" applyAlignment="0" applyProtection="0">
      <alignment vertical="center"/>
    </xf>
    <xf numFmtId="9" fontId="8" fillId="0" borderId="0" applyFont="0" applyFill="0" applyBorder="0" applyAlignment="0" applyProtection="0"/>
    <xf numFmtId="0" fontId="13" fillId="46" borderId="0" applyNumberFormat="0" applyBorder="0" applyAlignment="0" applyProtection="0">
      <alignment vertical="center"/>
    </xf>
    <xf numFmtId="0" fontId="11" fillId="45" borderId="0" applyNumberFormat="0" applyBorder="0" applyAlignment="0" applyProtection="0">
      <alignment vertical="center"/>
    </xf>
    <xf numFmtId="0" fontId="13" fillId="13" borderId="0" applyNumberFormat="0" applyBorder="0" applyAlignment="0" applyProtection="0">
      <alignment vertical="center"/>
    </xf>
    <xf numFmtId="184" fontId="0" fillId="0" borderId="0" applyFont="0" applyFill="0" applyBorder="0" applyAlignment="0" applyProtection="0"/>
    <xf numFmtId="0" fontId="27" fillId="0" borderId="0" applyNumberFormat="0" applyFill="0" applyBorder="0" applyAlignment="0" applyProtection="0"/>
    <xf numFmtId="0" fontId="0" fillId="0" borderId="0"/>
    <xf numFmtId="0" fontId="8" fillId="0" borderId="0"/>
    <xf numFmtId="0" fontId="8" fillId="0" borderId="0"/>
    <xf numFmtId="9" fontId="8" fillId="0" borderId="0" applyFont="0" applyFill="0" applyBorder="0" applyAlignment="0" applyProtection="0"/>
  </cellStyleXfs>
  <cellXfs count="247">
    <xf numFmtId="0" fontId="0" fillId="0" borderId="0" xfId="0"/>
    <xf numFmtId="0" fontId="1" fillId="0" borderId="0" xfId="0" applyFont="1"/>
    <xf numFmtId="4" fontId="0" fillId="0" borderId="0" xfId="0" applyNumberFormat="1"/>
    <xf numFmtId="0" fontId="0" fillId="0" borderId="0" xfId="0" applyFont="1"/>
    <xf numFmtId="0" fontId="2" fillId="0" borderId="0" xfId="0" applyFont="1"/>
    <xf numFmtId="181" fontId="0" fillId="0" borderId="0" xfId="0" applyNumberFormat="1" applyFont="1"/>
    <xf numFmtId="181" fontId="0" fillId="0" borderId="0" xfId="0" applyNumberFormat="1"/>
    <xf numFmtId="178" fontId="0" fillId="0" borderId="0" xfId="0" applyNumberFormat="1"/>
    <xf numFmtId="2" fontId="0" fillId="0" borderId="0" xfId="0" applyNumberFormat="1" applyFont="1"/>
    <xf numFmtId="49" fontId="0" fillId="0" borderId="0" xfId="0" applyNumberFormat="1" applyFont="1" applyAlignment="1">
      <alignment horizontal="right"/>
    </xf>
    <xf numFmtId="0" fontId="0" fillId="0" borderId="0" xfId="0" applyNumberFormat="1"/>
    <xf numFmtId="0" fontId="0" fillId="0" borderId="0" xfId="0" applyNumberFormat="1" applyFont="1" applyAlignment="1">
      <alignment horizontal="right"/>
    </xf>
    <xf numFmtId="178" fontId="0" fillId="0" borderId="0" xfId="0" applyNumberFormat="1" applyFont="1"/>
    <xf numFmtId="181" fontId="0" fillId="0" borderId="0" xfId="0" applyNumberFormat="1" applyFont="1" applyAlignment="1">
      <alignment wrapText="1"/>
    </xf>
    <xf numFmtId="0" fontId="0" fillId="0" borderId="0" xfId="0" applyNumberFormat="1" applyFont="1"/>
    <xf numFmtId="0" fontId="0" fillId="0" borderId="0" xfId="0" applyFont="1" applyAlignment="1">
      <alignment wrapText="1"/>
    </xf>
    <xf numFmtId="49" fontId="0" fillId="0" borderId="0" xfId="0" applyNumberFormat="1"/>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0" fillId="2" borderId="4"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8" xfId="0" applyFont="1" applyFill="1" applyBorder="1" applyAlignment="1">
      <alignment horizontal="left" vertical="top" wrapText="1"/>
    </xf>
    <xf numFmtId="0" fontId="4" fillId="0" borderId="0" xfId="0" applyFont="1" applyFill="1" applyBorder="1" applyAlignment="1"/>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11" xfId="0" applyFont="1" applyFill="1" applyBorder="1" applyAlignment="1">
      <alignment horizontal="left" vertical="top" wrapText="1"/>
    </xf>
    <xf numFmtId="0" fontId="5" fillId="3" borderId="12" xfId="10" applyFont="1" applyFill="1" applyBorder="1" applyAlignment="1" applyProtection="1"/>
    <xf numFmtId="181" fontId="0" fillId="3" borderId="12" xfId="0" applyNumberFormat="1" applyFill="1" applyBorder="1"/>
    <xf numFmtId="0" fontId="0" fillId="0" borderId="0" xfId="0" applyFill="1" applyBorder="1"/>
    <xf numFmtId="0" fontId="0" fillId="3" borderId="12" xfId="0" applyFont="1" applyFill="1" applyBorder="1"/>
    <xf numFmtId="4" fontId="0" fillId="4" borderId="12" xfId="0" applyNumberFormat="1" applyFont="1" applyFill="1" applyBorder="1"/>
    <xf numFmtId="0" fontId="0" fillId="0" borderId="0" xfId="0" applyFont="1" applyBorder="1"/>
    <xf numFmtId="0" fontId="0" fillId="4" borderId="13" xfId="0" applyFont="1" applyFill="1" applyBorder="1"/>
    <xf numFmtId="0" fontId="0" fillId="4" borderId="12" xfId="0" applyFont="1" applyFill="1" applyBorder="1"/>
    <xf numFmtId="0" fontId="0" fillId="4" borderId="12" xfId="0" applyFill="1" applyBorder="1"/>
    <xf numFmtId="4" fontId="0" fillId="4" borderId="12" xfId="0" applyNumberFormat="1" applyFill="1" applyBorder="1"/>
    <xf numFmtId="0" fontId="0" fillId="5" borderId="14" xfId="0" applyFont="1" applyFill="1" applyBorder="1"/>
    <xf numFmtId="0" fontId="0" fillId="5" borderId="12" xfId="0" applyFont="1" applyFill="1" applyBorder="1"/>
    <xf numFmtId="0" fontId="0" fillId="5" borderId="12" xfId="0" applyFill="1" applyBorder="1"/>
    <xf numFmtId="0" fontId="0" fillId="0" borderId="0" xfId="10" applyFont="1" applyFill="1" applyBorder="1" applyAlignment="1" applyProtection="1"/>
    <xf numFmtId="4" fontId="0" fillId="3" borderId="12" xfId="0" applyNumberFormat="1" applyFill="1" applyBorder="1"/>
    <xf numFmtId="0" fontId="0" fillId="0" borderId="0" xfId="0" applyFont="1" applyFill="1" applyBorder="1"/>
    <xf numFmtId="0" fontId="0" fillId="6" borderId="14" xfId="0" applyFont="1" applyFill="1" applyBorder="1"/>
    <xf numFmtId="0" fontId="0" fillId="7" borderId="14" xfId="0" applyFont="1" applyFill="1" applyBorder="1"/>
    <xf numFmtId="0" fontId="0" fillId="3" borderId="12" xfId="0" applyFill="1" applyBorder="1"/>
    <xf numFmtId="0" fontId="0" fillId="8" borderId="12" xfId="0" applyFont="1" applyFill="1" applyBorder="1"/>
    <xf numFmtId="4" fontId="0" fillId="8" borderId="12" xfId="0" applyNumberFormat="1" applyFill="1" applyBorder="1"/>
    <xf numFmtId="0" fontId="6" fillId="6" borderId="14" xfId="0" applyFont="1" applyFill="1" applyBorder="1"/>
    <xf numFmtId="0" fontId="7" fillId="0" borderId="0" xfId="10" applyFont="1" applyBorder="1" applyAlignment="1" applyProtection="1"/>
    <xf numFmtId="0" fontId="0" fillId="9" borderId="12" xfId="0" applyFont="1" applyFill="1" applyBorder="1"/>
    <xf numFmtId="4" fontId="0" fillId="9" borderId="12" xfId="0" applyNumberFormat="1" applyFill="1" applyBorder="1"/>
    <xf numFmtId="0" fontId="6" fillId="7" borderId="14" xfId="0" applyFont="1" applyFill="1" applyBorder="1"/>
    <xf numFmtId="0" fontId="0" fillId="4" borderId="12" xfId="0" applyFont="1" applyFill="1" applyBorder="1" applyAlignment="1">
      <alignment vertical="center"/>
    </xf>
    <xf numFmtId="183" fontId="0" fillId="4" borderId="12" xfId="0" applyNumberFormat="1" applyFill="1" applyBorder="1"/>
    <xf numFmtId="0" fontId="0" fillId="8" borderId="12" xfId="0" applyFont="1" applyFill="1" applyBorder="1" applyAlignment="1">
      <alignment vertical="center"/>
    </xf>
    <xf numFmtId="183" fontId="0" fillId="8" borderId="12" xfId="0" applyNumberFormat="1" applyFill="1" applyBorder="1"/>
    <xf numFmtId="183" fontId="0" fillId="4" borderId="12" xfId="0" applyNumberFormat="1" applyFont="1" applyFill="1" applyBorder="1"/>
    <xf numFmtId="183" fontId="0" fillId="5" borderId="12" xfId="0" applyNumberFormat="1" applyFont="1" applyFill="1" applyBorder="1"/>
    <xf numFmtId="196" fontId="0" fillId="5" borderId="12" xfId="0" applyNumberFormat="1" applyFill="1" applyBorder="1"/>
    <xf numFmtId="4" fontId="0" fillId="5" borderId="12" xfId="0" applyNumberFormat="1" applyFill="1" applyBorder="1"/>
    <xf numFmtId="10" fontId="0" fillId="8" borderId="12" xfId="0" applyNumberFormat="1" applyFont="1" applyFill="1" applyBorder="1"/>
    <xf numFmtId="194" fontId="0" fillId="5" borderId="12" xfId="0" applyNumberFormat="1" applyFill="1" applyBorder="1"/>
    <xf numFmtId="4" fontId="0" fillId="8" borderId="12" xfId="0" applyNumberFormat="1" applyFont="1" applyFill="1" applyBorder="1"/>
    <xf numFmtId="187" fontId="0" fillId="8" borderId="12" xfId="0" applyNumberFormat="1" applyFont="1" applyFill="1" applyBorder="1"/>
    <xf numFmtId="10" fontId="0" fillId="3" borderId="12" xfId="0" applyNumberFormat="1" applyFill="1" applyBorder="1"/>
    <xf numFmtId="0" fontId="0" fillId="10" borderId="12" xfId="0" applyFont="1" applyFill="1" applyBorder="1"/>
    <xf numFmtId="10" fontId="0" fillId="10" borderId="12" xfId="0" applyNumberFormat="1" applyFont="1" applyFill="1" applyBorder="1"/>
    <xf numFmtId="0" fontId="6" fillId="5" borderId="14" xfId="0" applyFont="1" applyFill="1" applyBorder="1"/>
    <xf numFmtId="0" fontId="6" fillId="7" borderId="15" xfId="0" applyFont="1" applyFill="1" applyBorder="1"/>
    <xf numFmtId="0" fontId="0" fillId="11" borderId="16" xfId="0" applyFill="1" applyBorder="1"/>
    <xf numFmtId="0" fontId="0" fillId="5" borderId="12" xfId="0" applyFont="1" applyFill="1" applyBorder="1" applyAlignment="1">
      <alignment wrapText="1"/>
    </xf>
    <xf numFmtId="177" fontId="0" fillId="5" borderId="12" xfId="0" applyNumberFormat="1" applyFill="1" applyBorder="1"/>
    <xf numFmtId="0" fontId="0" fillId="5" borderId="13" xfId="0" applyFont="1" applyFill="1" applyBorder="1"/>
    <xf numFmtId="0" fontId="6" fillId="5" borderId="12" xfId="0" applyFont="1" applyFill="1" applyBorder="1"/>
    <xf numFmtId="10" fontId="0" fillId="5" borderId="12" xfId="6" applyNumberFormat="1" applyFont="1" applyFill="1" applyBorder="1"/>
    <xf numFmtId="0" fontId="6" fillId="5" borderId="14" xfId="0" applyFont="1" applyFill="1" applyBorder="1" applyAlignment="1">
      <alignment wrapText="1"/>
    </xf>
    <xf numFmtId="0" fontId="0" fillId="12" borderId="12" xfId="0" applyFont="1" applyFill="1" applyBorder="1" applyAlignment="1">
      <alignment horizontal="left" vertical="top"/>
    </xf>
    <xf numFmtId="0" fontId="0" fillId="13" borderId="12" xfId="0" applyFont="1" applyFill="1" applyBorder="1" applyAlignment="1">
      <alignment vertical="center"/>
    </xf>
    <xf numFmtId="4" fontId="0" fillId="13" borderId="12" xfId="0" applyNumberFormat="1" applyFill="1" applyBorder="1"/>
    <xf numFmtId="0" fontId="6" fillId="8" borderId="14" xfId="0" applyFont="1" applyFill="1" applyBorder="1" applyAlignment="1">
      <alignment wrapText="1"/>
    </xf>
    <xf numFmtId="183" fontId="0" fillId="13" borderId="12" xfId="0" applyNumberFormat="1" applyFill="1" applyBorder="1"/>
    <xf numFmtId="0" fontId="6" fillId="9" borderId="14" xfId="0" applyFont="1" applyFill="1" applyBorder="1" applyAlignment="1">
      <alignment wrapText="1"/>
    </xf>
    <xf numFmtId="183" fontId="0" fillId="5" borderId="12" xfId="0" applyNumberFormat="1" applyFill="1" applyBorder="1"/>
    <xf numFmtId="186" fontId="0" fillId="0" borderId="0" xfId="0" applyNumberFormat="1"/>
    <xf numFmtId="190" fontId="0" fillId="8" borderId="12" xfId="0" applyNumberFormat="1" applyFill="1" applyBorder="1"/>
    <xf numFmtId="2" fontId="0" fillId="4" borderId="12" xfId="0" applyNumberFormat="1" applyFill="1" applyBorder="1"/>
    <xf numFmtId="190" fontId="0" fillId="9" borderId="12" xfId="0" applyNumberFormat="1" applyFill="1" applyBorder="1"/>
    <xf numFmtId="0" fontId="0" fillId="5" borderId="12" xfId="0" applyFont="1" applyFill="1" applyBorder="1" applyAlignment="1">
      <alignment vertical="center"/>
    </xf>
    <xf numFmtId="182" fontId="0" fillId="5" borderId="12" xfId="0" applyNumberFormat="1" applyFill="1" applyBorder="1"/>
    <xf numFmtId="0" fontId="0" fillId="8" borderId="14" xfId="0" applyFont="1" applyFill="1" applyBorder="1" applyAlignment="1">
      <alignment wrapText="1"/>
    </xf>
    <xf numFmtId="0" fontId="0" fillId="6" borderId="12" xfId="0" applyFont="1" applyFill="1" applyBorder="1" applyAlignment="1">
      <alignment vertical="center"/>
    </xf>
    <xf numFmtId="197" fontId="0" fillId="6" borderId="12" xfId="0" applyNumberFormat="1" applyFill="1" applyBorder="1"/>
    <xf numFmtId="0" fontId="7" fillId="14" borderId="12" xfId="10" applyFont="1" applyFill="1" applyBorder="1" applyAlignment="1" applyProtection="1"/>
    <xf numFmtId="182" fontId="0" fillId="14" borderId="12" xfId="0" applyNumberFormat="1" applyFill="1" applyBorder="1"/>
    <xf numFmtId="0" fontId="6" fillId="8" borderId="14" xfId="0" applyFont="1" applyFill="1" applyBorder="1"/>
    <xf numFmtId="0" fontId="6" fillId="9" borderId="14" xfId="0" applyFont="1" applyFill="1" applyBorder="1"/>
    <xf numFmtId="182" fontId="0" fillId="4" borderId="12" xfId="0" applyNumberFormat="1" applyFill="1" applyBorder="1"/>
    <xf numFmtId="0" fontId="0" fillId="14" borderId="12" xfId="0" applyFont="1" applyFill="1" applyBorder="1" applyAlignment="1">
      <alignment vertical="center"/>
    </xf>
    <xf numFmtId="183" fontId="0" fillId="14" borderId="12" xfId="0" applyNumberFormat="1" applyFill="1" applyBorder="1"/>
    <xf numFmtId="190" fontId="0" fillId="0" borderId="0" xfId="0" applyNumberFormat="1" applyFont="1"/>
    <xf numFmtId="0" fontId="6" fillId="8" borderId="7" xfId="0" applyFont="1" applyFill="1" applyBorder="1"/>
    <xf numFmtId="0" fontId="0" fillId="3" borderId="12" xfId="0" applyNumberFormat="1" applyFill="1" applyBorder="1"/>
    <xf numFmtId="0" fontId="0" fillId="4" borderId="12" xfId="0" applyFont="1" applyFill="1" applyBorder="1" applyAlignment="1">
      <alignment wrapText="1"/>
    </xf>
    <xf numFmtId="189" fontId="0" fillId="5" borderId="12" xfId="0" applyNumberFormat="1" applyFill="1" applyBorder="1"/>
    <xf numFmtId="0" fontId="6" fillId="6" borderId="15" xfId="0" applyFont="1" applyFill="1" applyBorder="1" applyAlignment="1">
      <alignment wrapText="1"/>
    </xf>
    <xf numFmtId="0" fontId="0" fillId="6" borderId="12" xfId="0" applyFont="1" applyFill="1" applyBorder="1"/>
    <xf numFmtId="189" fontId="0" fillId="6" borderId="12" xfId="0" applyNumberFormat="1" applyFill="1" applyBorder="1"/>
    <xf numFmtId="2" fontId="0" fillId="5" borderId="12" xfId="0" applyNumberFormat="1" applyFill="1" applyBorder="1"/>
    <xf numFmtId="0" fontId="6" fillId="15" borderId="17" xfId="0" applyFont="1" applyFill="1" applyBorder="1"/>
    <xf numFmtId="197" fontId="0" fillId="6" borderId="18" xfId="0" applyNumberFormat="1" applyFill="1" applyBorder="1"/>
    <xf numFmtId="0" fontId="6" fillId="0" borderId="0" xfId="0" applyFont="1"/>
    <xf numFmtId="177" fontId="0" fillId="8" borderId="12" xfId="0" applyNumberFormat="1" applyFill="1" applyBorder="1"/>
    <xf numFmtId="183" fontId="0" fillId="9" borderId="12" xfId="0" applyNumberFormat="1" applyFill="1" applyBorder="1"/>
    <xf numFmtId="0" fontId="0" fillId="5" borderId="12" xfId="0" applyFont="1" applyFill="1" applyBorder="1" applyAlignment="1">
      <alignment horizontal="left" vertical="center"/>
    </xf>
    <xf numFmtId="178" fontId="0" fillId="5" borderId="12" xfId="0" applyNumberFormat="1" applyFont="1" applyFill="1" applyBorder="1" applyAlignment="1">
      <alignment horizontal="right" wrapText="1"/>
    </xf>
    <xf numFmtId="182" fontId="0" fillId="6" borderId="12" xfId="0" applyNumberFormat="1" applyFill="1" applyBorder="1"/>
    <xf numFmtId="0" fontId="0" fillId="4" borderId="12" xfId="0" applyFont="1" applyFill="1" applyBorder="1" applyAlignment="1">
      <alignment horizontal="left" vertical="center"/>
    </xf>
    <xf numFmtId="178" fontId="0" fillId="4" borderId="12" xfId="0" applyNumberFormat="1" applyFont="1" applyFill="1" applyBorder="1" applyAlignment="1">
      <alignment horizontal="right" wrapText="1"/>
    </xf>
    <xf numFmtId="0" fontId="0" fillId="0" borderId="0" xfId="0" applyFont="1" applyFill="1" applyBorder="1" applyAlignment="1">
      <alignment horizontal="left" wrapText="1"/>
    </xf>
    <xf numFmtId="197" fontId="0" fillId="14" borderId="12" xfId="0" applyNumberFormat="1" applyFill="1" applyBorder="1"/>
    <xf numFmtId="0" fontId="6" fillId="8" borderId="17" xfId="0" applyFont="1" applyFill="1" applyBorder="1"/>
    <xf numFmtId="0" fontId="0" fillId="14" borderId="18" xfId="0" applyFont="1" applyFill="1" applyBorder="1" applyAlignment="1">
      <alignment vertical="center"/>
    </xf>
    <xf numFmtId="197" fontId="0" fillId="14" borderId="18" xfId="0" applyNumberFormat="1" applyFill="1" applyBorder="1"/>
    <xf numFmtId="0" fontId="6" fillId="9" borderId="17" xfId="0" applyFont="1" applyFill="1" applyBorder="1"/>
    <xf numFmtId="183" fontId="0" fillId="6" borderId="12" xfId="0" applyNumberFormat="1" applyFill="1" applyBorder="1"/>
    <xf numFmtId="4" fontId="0" fillId="14" borderId="12" xfId="0" applyNumberFormat="1" applyFill="1" applyBorder="1"/>
    <xf numFmtId="4" fontId="0" fillId="14" borderId="18" xfId="0" applyNumberFormat="1" applyFill="1" applyBorder="1"/>
    <xf numFmtId="188" fontId="0" fillId="5" borderId="12" xfId="0" applyNumberFormat="1" applyFill="1" applyBorder="1"/>
    <xf numFmtId="0" fontId="0" fillId="0" borderId="0" xfId="0" applyFont="1" applyBorder="1" applyAlignment="1">
      <alignment vertical="center"/>
    </xf>
    <xf numFmtId="0" fontId="0" fillId="6" borderId="12" xfId="0" applyFont="1" applyFill="1" applyBorder="1" applyAlignment="1">
      <alignment wrapText="1"/>
    </xf>
    <xf numFmtId="187" fontId="0" fillId="6" borderId="12" xfId="0" applyNumberFormat="1" applyFill="1" applyBorder="1"/>
    <xf numFmtId="0" fontId="6" fillId="6" borderId="19" xfId="0" applyFont="1" applyFill="1" applyBorder="1"/>
    <xf numFmtId="0" fontId="0" fillId="8" borderId="12" xfId="0" applyFont="1" applyFill="1" applyBorder="1" applyAlignment="1">
      <alignment wrapText="1"/>
    </xf>
    <xf numFmtId="188" fontId="0" fillId="8" borderId="12" xfId="0" applyNumberFormat="1" applyFill="1" applyBorder="1"/>
    <xf numFmtId="0" fontId="0" fillId="9" borderId="12" xfId="0" applyFont="1" applyFill="1" applyBorder="1" applyAlignment="1">
      <alignment wrapText="1"/>
    </xf>
    <xf numFmtId="187" fontId="0" fillId="9" borderId="12" xfId="0" applyNumberFormat="1" applyFill="1" applyBorder="1"/>
    <xf numFmtId="0" fontId="0" fillId="6" borderId="12" xfId="0" applyFill="1" applyBorder="1"/>
    <xf numFmtId="0" fontId="0" fillId="5" borderId="14" xfId="0" applyFont="1" applyFill="1" applyBorder="1" applyAlignment="1">
      <alignment wrapText="1"/>
    </xf>
    <xf numFmtId="0" fontId="0" fillId="6" borderId="14" xfId="0" applyFont="1" applyFill="1" applyBorder="1" applyAlignment="1">
      <alignment wrapText="1"/>
    </xf>
    <xf numFmtId="180" fontId="0" fillId="4" borderId="12" xfId="0" applyNumberFormat="1" applyFill="1" applyBorder="1"/>
    <xf numFmtId="193" fontId="0" fillId="0" borderId="0" xfId="0" applyNumberFormat="1" applyFont="1" applyFill="1" applyBorder="1"/>
    <xf numFmtId="190" fontId="0" fillId="0" borderId="0" xfId="0" applyNumberFormat="1" applyFill="1" applyBorder="1"/>
    <xf numFmtId="196" fontId="0" fillId="0" borderId="0" xfId="0" applyNumberFormat="1" applyFont="1" applyFill="1" applyBorder="1" applyAlignment="1">
      <alignment horizontal="left" vertical="top"/>
    </xf>
    <xf numFmtId="190" fontId="0" fillId="0" borderId="0" xfId="2" applyNumberFormat="1" applyFont="1" applyFill="1" applyBorder="1"/>
    <xf numFmtId="0" fontId="0" fillId="9" borderId="15" xfId="0" applyFont="1" applyFill="1" applyBorder="1" applyAlignment="1">
      <alignment wrapText="1"/>
    </xf>
    <xf numFmtId="0" fontId="6" fillId="0" borderId="0" xfId="0" applyFont="1" applyAlignment="1">
      <alignment horizontal="center"/>
    </xf>
    <xf numFmtId="0" fontId="0" fillId="0" borderId="0" xfId="0" applyFont="1" applyFill="1" applyBorder="1" applyAlignment="1">
      <alignment horizontal="left" vertical="top"/>
    </xf>
    <xf numFmtId="10" fontId="0" fillId="0" borderId="0" xfId="0" applyNumberFormat="1" applyFont="1" applyFill="1" applyBorder="1"/>
    <xf numFmtId="0" fontId="8" fillId="0" borderId="0" xfId="32" applyFill="1"/>
    <xf numFmtId="0" fontId="0" fillId="4" borderId="20" xfId="0" applyFill="1" applyBorder="1"/>
    <xf numFmtId="2" fontId="0" fillId="5" borderId="21" xfId="0" applyNumberFormat="1" applyFill="1" applyBorder="1"/>
    <xf numFmtId="2" fontId="0" fillId="6" borderId="21" xfId="0" applyNumberFormat="1" applyFill="1" applyBorder="1"/>
    <xf numFmtId="0" fontId="6" fillId="9" borderId="0" xfId="0" applyFont="1" applyFill="1"/>
    <xf numFmtId="0" fontId="0" fillId="7" borderId="21" xfId="0" applyFill="1" applyBorder="1"/>
    <xf numFmtId="0" fontId="0" fillId="6" borderId="21" xfId="0" applyFill="1" applyBorder="1"/>
    <xf numFmtId="0" fontId="0" fillId="7" borderId="21" xfId="0" applyFont="1" applyFill="1" applyBorder="1"/>
    <xf numFmtId="0" fontId="0" fillId="6" borderId="21" xfId="0" applyFont="1" applyFill="1" applyBorder="1"/>
    <xf numFmtId="192" fontId="0" fillId="5" borderId="21" xfId="0" applyNumberFormat="1" applyFill="1" applyBorder="1"/>
    <xf numFmtId="187" fontId="0" fillId="0" borderId="0" xfId="0" applyNumberFormat="1"/>
    <xf numFmtId="192" fontId="0" fillId="6" borderId="21" xfId="0" applyNumberFormat="1" applyFill="1" applyBorder="1"/>
    <xf numFmtId="190" fontId="0" fillId="7" borderId="21" xfId="0" applyNumberFormat="1" applyFill="1" applyBorder="1"/>
    <xf numFmtId="190" fontId="0" fillId="6" borderId="21" xfId="0" applyNumberFormat="1" applyFill="1" applyBorder="1"/>
    <xf numFmtId="181" fontId="0" fillId="6" borderId="21" xfId="0" applyNumberFormat="1" applyFill="1" applyBorder="1"/>
    <xf numFmtId="0" fontId="0" fillId="5" borderId="21" xfId="0" applyFill="1" applyBorder="1"/>
    <xf numFmtId="183" fontId="0" fillId="0" borderId="0" xfId="0" applyNumberFormat="1"/>
    <xf numFmtId="192" fontId="0" fillId="7" borderId="22" xfId="0" applyNumberFormat="1" applyFont="1" applyFill="1" applyBorder="1"/>
    <xf numFmtId="0" fontId="0" fillId="0" borderId="0" xfId="0" applyBorder="1"/>
    <xf numFmtId="0" fontId="1" fillId="16" borderId="23" xfId="0" applyFont="1" applyFill="1" applyBorder="1"/>
    <xf numFmtId="0" fontId="1" fillId="16" borderId="24" xfId="0" applyFont="1" applyFill="1" applyBorder="1"/>
    <xf numFmtId="0" fontId="0" fillId="5" borderId="25" xfId="0" applyFill="1" applyBorder="1"/>
    <xf numFmtId="187" fontId="0" fillId="5" borderId="20" xfId="0" applyNumberFormat="1" applyFill="1" applyBorder="1"/>
    <xf numFmtId="192" fontId="0" fillId="5" borderId="12" xfId="0" applyNumberFormat="1" applyFill="1" applyBorder="1"/>
    <xf numFmtId="0" fontId="0" fillId="8" borderId="12" xfId="0" applyFill="1" applyBorder="1"/>
    <xf numFmtId="0" fontId="0" fillId="8" borderId="21" xfId="0" applyFill="1" applyBorder="1"/>
    <xf numFmtId="178" fontId="6" fillId="0" borderId="0" xfId="0" applyNumberFormat="1" applyFont="1"/>
    <xf numFmtId="2" fontId="0" fillId="6" borderId="12" xfId="0" applyNumberFormat="1" applyFill="1" applyBorder="1"/>
    <xf numFmtId="181" fontId="0" fillId="8" borderId="12" xfId="0" applyNumberFormat="1" applyFill="1" applyBorder="1"/>
    <xf numFmtId="181" fontId="0" fillId="8" borderId="21" xfId="0" applyNumberFormat="1" applyFill="1" applyBorder="1"/>
    <xf numFmtId="9" fontId="0" fillId="0" borderId="0" xfId="6" applyFont="1"/>
    <xf numFmtId="4" fontId="0" fillId="8" borderId="21" xfId="0" applyNumberFormat="1" applyFont="1" applyFill="1" applyBorder="1"/>
    <xf numFmtId="0" fontId="6" fillId="0" borderId="0" xfId="0" applyFont="1" applyBorder="1"/>
    <xf numFmtId="4" fontId="0" fillId="9" borderId="12" xfId="0" applyNumberFormat="1" applyFont="1" applyFill="1" applyBorder="1"/>
    <xf numFmtId="189" fontId="0" fillId="8" borderId="18" xfId="0" applyNumberFormat="1" applyFont="1" applyFill="1" applyBorder="1"/>
    <xf numFmtId="189" fontId="0" fillId="8" borderId="26" xfId="0" applyNumberFormat="1" applyFont="1" applyFill="1" applyBorder="1"/>
    <xf numFmtId="192" fontId="6" fillId="0" borderId="0" xfId="0" applyNumberFormat="1" applyFont="1"/>
    <xf numFmtId="2" fontId="0" fillId="0" borderId="0" xfId="0" applyNumberFormat="1"/>
    <xf numFmtId="195" fontId="0" fillId="5" borderId="12" xfId="0" applyNumberFormat="1" applyFill="1" applyBorder="1"/>
    <xf numFmtId="185" fontId="0" fillId="5" borderId="12" xfId="0" applyNumberFormat="1" applyFill="1" applyBorder="1"/>
    <xf numFmtId="185" fontId="0" fillId="5" borderId="21" xfId="0" applyNumberFormat="1" applyFill="1" applyBorder="1"/>
    <xf numFmtId="0" fontId="6" fillId="0" borderId="0" xfId="0" applyFont="1" applyFill="1" applyBorder="1"/>
    <xf numFmtId="0" fontId="0" fillId="6" borderId="27" xfId="0" applyFill="1" applyBorder="1"/>
    <xf numFmtId="0" fontId="0" fillId="6" borderId="22" xfId="0" applyFill="1" applyBorder="1"/>
    <xf numFmtId="2" fontId="0" fillId="15" borderId="28" xfId="0" applyNumberFormat="1" applyFill="1" applyBorder="1"/>
    <xf numFmtId="192" fontId="0" fillId="7" borderId="21" xfId="0" applyNumberFormat="1" applyFill="1" applyBorder="1"/>
    <xf numFmtId="197" fontId="0" fillId="8" borderId="28" xfId="0" applyNumberFormat="1" applyFont="1" applyFill="1" applyBorder="1"/>
    <xf numFmtId="190" fontId="0" fillId="0" borderId="0" xfId="0" applyNumberFormat="1"/>
    <xf numFmtId="197" fontId="0" fillId="9" borderId="28" xfId="0" applyNumberFormat="1" applyFont="1" applyFill="1" applyBorder="1"/>
    <xf numFmtId="187" fontId="0" fillId="5" borderId="21" xfId="0" applyNumberFormat="1" applyFont="1" applyFill="1" applyBorder="1"/>
    <xf numFmtId="187" fontId="0" fillId="6" borderId="21" xfId="0" applyNumberFormat="1" applyFont="1" applyFill="1" applyBorder="1"/>
    <xf numFmtId="0" fontId="0" fillId="0" borderId="0" xfId="0" applyNumberFormat="1" applyFill="1" applyBorder="1"/>
    <xf numFmtId="4" fontId="0" fillId="0" borderId="0" xfId="0" applyNumberFormat="1" applyFill="1" applyBorder="1"/>
    <xf numFmtId="0" fontId="0" fillId="17" borderId="0" xfId="0" applyFill="1"/>
    <xf numFmtId="0" fontId="0" fillId="6" borderId="26" xfId="0" applyFill="1" applyBorder="1"/>
    <xf numFmtId="197" fontId="0" fillId="8" borderId="21" xfId="0" applyNumberFormat="1" applyFont="1" applyFill="1" applyBorder="1"/>
    <xf numFmtId="16" fontId="0" fillId="0" borderId="0" xfId="0" applyNumberFormat="1"/>
    <xf numFmtId="197" fontId="0" fillId="9" borderId="8" xfId="0" applyNumberFormat="1" applyFill="1" applyBorder="1"/>
    <xf numFmtId="0" fontId="0" fillId="9" borderId="22" xfId="0" applyFill="1" applyBorder="1"/>
    <xf numFmtId="0" fontId="9" fillId="0" borderId="0" xfId="0" applyFont="1"/>
    <xf numFmtId="0" fontId="10" fillId="4" borderId="29" xfId="0" applyFont="1" applyFill="1" applyBorder="1" applyAlignment="1">
      <alignment horizontal="center"/>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 fillId="18" borderId="17" xfId="0" applyFont="1" applyFill="1" applyBorder="1"/>
    <xf numFmtId="0" fontId="1" fillId="18" borderId="32" xfId="0" applyFont="1" applyFill="1" applyBorder="1"/>
    <xf numFmtId="0" fontId="1" fillId="18" borderId="28" xfId="0" applyFont="1" applyFill="1" applyBorder="1"/>
    <xf numFmtId="0" fontId="0" fillId="0" borderId="14" xfId="0" applyBorder="1"/>
    <xf numFmtId="4" fontId="0" fillId="0" borderId="12" xfId="0" applyNumberFormat="1" applyBorder="1"/>
    <xf numFmtId="0" fontId="0" fillId="11" borderId="21" xfId="0" applyFill="1" applyBorder="1"/>
    <xf numFmtId="4" fontId="0" fillId="0" borderId="21" xfId="0" applyNumberFormat="1" applyBorder="1"/>
    <xf numFmtId="0" fontId="0" fillId="0" borderId="0" xfId="0" applyFont="1" applyAlignment="1">
      <alignment horizontal="center"/>
    </xf>
    <xf numFmtId="0" fontId="0" fillId="0" borderId="0" xfId="0" applyAlignment="1">
      <alignment horizontal="center"/>
    </xf>
    <xf numFmtId="0" fontId="1" fillId="0" borderId="0" xfId="0" applyFont="1" applyAlignment="1"/>
    <xf numFmtId="182" fontId="0" fillId="0" borderId="0" xfId="0" applyNumberFormat="1"/>
    <xf numFmtId="197" fontId="0" fillId="0" borderId="0" xfId="0" applyNumberFormat="1"/>
    <xf numFmtId="182" fontId="0" fillId="0" borderId="0" xfId="0" applyNumberFormat="1" applyFont="1"/>
    <xf numFmtId="197" fontId="0" fillId="0" borderId="0" xfId="0" applyNumberFormat="1" applyFont="1"/>
    <xf numFmtId="179" fontId="0" fillId="0" borderId="0" xfId="0" applyNumberFormat="1"/>
    <xf numFmtId="0" fontId="0" fillId="0" borderId="0" xfId="0" applyFont="1" applyAlignment="1"/>
    <xf numFmtId="176" fontId="0" fillId="0" borderId="0" xfId="0" applyNumberFormat="1"/>
    <xf numFmtId="0" fontId="1" fillId="0" borderId="0" xfId="0" applyFont="1" applyFill="1" applyBorder="1"/>
    <xf numFmtId="10" fontId="1" fillId="0" borderId="0" xfId="0" applyNumberFormat="1" applyFont="1" applyFill="1" applyBorder="1"/>
    <xf numFmtId="10" fontId="1" fillId="8" borderId="33" xfId="0" applyNumberFormat="1" applyFont="1" applyFill="1" applyBorder="1"/>
    <xf numFmtId="4" fontId="0" fillId="0" borderId="0" xfId="0" applyNumberFormat="1" applyFont="1" applyFill="1" applyBorder="1"/>
    <xf numFmtId="4" fontId="0" fillId="8" borderId="34" xfId="0" applyNumberFormat="1" applyFont="1" applyFill="1" applyBorder="1"/>
    <xf numFmtId="178" fontId="0" fillId="0" borderId="0" xfId="0" applyNumberFormat="1" applyFont="1" applyFill="1" applyBorder="1"/>
    <xf numFmtId="2" fontId="0" fillId="0" borderId="0" xfId="0" applyNumberFormat="1" applyFont="1" applyFill="1" applyBorder="1"/>
    <xf numFmtId="0" fontId="0" fillId="19" borderId="0" xfId="0" applyFont="1" applyFill="1" applyBorder="1"/>
    <xf numFmtId="187" fontId="0" fillId="19" borderId="0" xfId="0" applyNumberFormat="1" applyFont="1" applyFill="1" applyBorder="1"/>
    <xf numFmtId="192" fontId="0" fillId="0" borderId="0" xfId="0" applyNumberFormat="1"/>
    <xf numFmtId="0" fontId="1" fillId="0" borderId="0" xfId="0" applyFont="1" applyAlignment="1">
      <alignment horizontal="right"/>
    </xf>
    <xf numFmtId="0" fontId="0" fillId="0" borderId="15" xfId="0" applyBorder="1"/>
    <xf numFmtId="4" fontId="0" fillId="0" borderId="27" xfId="0" applyNumberFormat="1" applyBorder="1"/>
    <xf numFmtId="4" fontId="0" fillId="0" borderId="22" xfId="0" applyNumberFormat="1" applyBorder="1"/>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Percent 2" xfId="45"/>
    <cellStyle name="Accent5" xfId="46" builtinId="45"/>
    <cellStyle name="40% - Accent5" xfId="47" builtinId="47"/>
    <cellStyle name="60% - Accent5" xfId="48" builtinId="48"/>
    <cellStyle name="Percent 3" xfId="49"/>
    <cellStyle name="Accent6" xfId="50" builtinId="49"/>
    <cellStyle name="40% - Accent6" xfId="51" builtinId="51"/>
    <cellStyle name="60% - Accent6" xfId="52" builtinId="52"/>
    <cellStyle name="Comma 2" xfId="53"/>
    <cellStyle name="Hyperlink 2" xfId="54"/>
    <cellStyle name="Normal 2 2" xfId="55"/>
    <cellStyle name="Normal 2 3" xfId="56"/>
    <cellStyle name="Normal 3 2" xfId="57"/>
    <cellStyle name="Percent 3 2" xfId="58"/>
  </cellStyles>
  <tableStyles count="0" defaultTableStyle="TableStyleMedium9"/>
  <colors>
    <mruColors>
      <color rgb="00FFFFA7"/>
      <color rgb="00A5D773"/>
      <color rgb="00FFFF81"/>
      <color rgb="0099CC00"/>
      <color rgb="00FFFF99"/>
      <color rgb="00FFFFC1"/>
      <color rgb="00FFFF66"/>
      <color rgb="00FFFFCD"/>
      <color rgb="00FFFF37"/>
      <color rgb="00FFFF00"/>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en-US" sz="1800" b="1" i="0" u="none" strike="noStrike" kern="1200" baseline="0">
              <a:solidFill>
                <a:srgbClr val="000000"/>
              </a:solidFill>
              <a:latin typeface="Calibri" panose="020F0502020204030204"/>
              <a:ea typeface="Calibri" panose="020F0502020204030204"/>
              <a:cs typeface="Calibri" panose="020F0502020204030204"/>
            </a:defRPr>
          </a:pPr>
        </a:p>
      </c:txPr>
    </c:title>
    <c:autoTitleDeleted val="0"/>
    <c:plotArea>
      <c:layout>
        <c:manualLayout>
          <c:layoutTarget val="inner"/>
          <c:xMode val="edge"/>
          <c:yMode val="edge"/>
          <c:x val="0.095372704450119"/>
          <c:y val="0.258243585047354"/>
          <c:w val="0.858651578470607"/>
          <c:h val="0.67361666181802"/>
        </c:manualLayout>
      </c:layout>
      <c:scatterChart>
        <c:scatterStyle val="smooth"/>
        <c:varyColors val="0"/>
        <c:ser>
          <c:idx val="0"/>
          <c:order val="0"/>
          <c:tx>
            <c:strRef>
              <c:f>"Acceleration (m/sec^2)"</c:f>
              <c:strCache>
                <c:ptCount val="1"/>
                <c:pt idx="0">
                  <c:v>Acceleration (m/sec^2)</c:v>
                </c:pt>
              </c:strCache>
            </c:strRef>
          </c:tx>
          <c:marker>
            <c:symbol val="none"/>
          </c:marker>
          <c:dLbls>
            <c:delete val="1"/>
          </c:dLbls>
          <c:xVal>
            <c:numRef>
              <c:f>VesselCharacteristics!#REF!</c:f>
              <c:numCache>
                <c:formatCode>General</c:formatCode>
                <c:ptCount val="0"/>
              </c:numCache>
            </c:numRef>
          </c:xVal>
          <c:yVal>
            <c:numRef>
              <c:f>VesselCharacteristics!#REF!</c:f>
              <c:numCache>
                <c:formatCode>General</c:formatCode>
                <c:ptCount val="1"/>
                <c:pt idx="0">
                  <c:v>1</c:v>
                </c:pt>
              </c:numCache>
            </c:numRef>
          </c:yVal>
          <c:smooth val="1"/>
        </c:ser>
        <c:dLbls>
          <c:showLegendKey val="0"/>
          <c:showVal val="0"/>
          <c:showCatName val="0"/>
          <c:showSerName val="0"/>
          <c:showPercent val="0"/>
          <c:showBubbleSize val="0"/>
        </c:dLbls>
        <c:axId val="57848960"/>
        <c:axId val="57850496"/>
      </c:scatterChart>
      <c:valAx>
        <c:axId val="57848960"/>
        <c:scaling>
          <c:orientation val="minMax"/>
        </c:scaling>
        <c:delete val="0"/>
        <c:axPos val="b"/>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57850496"/>
        <c:crosses val="autoZero"/>
        <c:crossBetween val="midCat"/>
      </c:valAx>
      <c:valAx>
        <c:axId val="57850496"/>
        <c:scaling>
          <c:orientation val="minMax"/>
        </c:scaling>
        <c:delete val="0"/>
        <c:axPos val="l"/>
        <c:majorGridlines/>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57848960"/>
        <c:crosses val="autoZero"/>
        <c:crossBetween val="midCat"/>
      </c:valAx>
    </c:plotArea>
    <c:legend>
      <c:legendPos val="r"/>
      <c:layout>
        <c:manualLayout>
          <c:xMode val="edge"/>
          <c:yMode val="edge"/>
          <c:x val="0.444615334298166"/>
          <c:y val="0.226681664791901"/>
          <c:w val="0.503623028429858"/>
          <c:h val="0.185137836031366"/>
        </c:manualLayout>
      </c:layout>
      <c:overlay val="0"/>
      <c:txPr>
        <a:bodyPr rot="0" spcFirstLastPara="0" vertOverflow="ellipsis" vert="horz" wrap="square" anchor="ctr" anchorCtr="1"/>
        <a:lstStyle/>
        <a:p>
          <a:pPr>
            <a:defRPr lang="en-US" sz="845" b="0" i="0" u="none" strike="noStrike" kern="1200" baseline="0">
              <a:solidFill>
                <a:srgbClr val="000000"/>
              </a:solidFill>
              <a:latin typeface="Calibri" panose="020F0502020204030204"/>
              <a:ea typeface="Calibri" panose="020F0502020204030204"/>
              <a:cs typeface="Calibri" panose="020F0502020204030204"/>
            </a:defRPr>
          </a:pPr>
        </a:p>
      </c:txPr>
    </c:legend>
    <c:plotVisOnly val="1"/>
    <c:dispBlanksAs val="gap"/>
    <c:showDLblsOverMax val="0"/>
  </c:chart>
  <c:txPr>
    <a:bodyPr/>
    <a:lstStyle/>
    <a:p>
      <a:pPr>
        <a:defRPr lang="en-US" sz="1000" b="0" i="0" u="none" strike="noStrike" baseline="0">
          <a:solidFill>
            <a:srgbClr val="000000"/>
          </a:solidFill>
          <a:latin typeface="Calibri" panose="020F0502020204030204"/>
          <a:ea typeface="Calibri" panose="020F0502020204030204"/>
          <a:cs typeface="Calibri" panose="020F0502020204030204"/>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rgbClr val="000000"/>
                </a:solidFill>
                <a:latin typeface="Calibri" panose="020F0502020204030204"/>
                <a:ea typeface="Calibri" panose="020F0502020204030204"/>
                <a:cs typeface="Calibri" panose="020F0502020204030204"/>
              </a:defRPr>
            </a:pPr>
            <a:r>
              <a:rPr lang="en-US"/>
              <a:t>Propellent Mass Budget Analysis for Change in Velocity Increment</a:t>
            </a:r>
            <a:endParaRPr lang="en-US"/>
          </a:p>
        </c:rich>
      </c:tx>
      <c:layout/>
      <c:overlay val="0"/>
    </c:title>
    <c:autoTitleDeleted val="0"/>
    <c:plotArea>
      <c:layout>
        <c:manualLayout>
          <c:layoutTarget val="inner"/>
          <c:xMode val="edge"/>
          <c:yMode val="edge"/>
          <c:x val="0.0953727044501189"/>
          <c:y val="0.258243585047354"/>
          <c:w val="0.858651578470607"/>
          <c:h val="0.673616661818021"/>
        </c:manualLayout>
      </c:layout>
      <c:scatterChart>
        <c:scatterStyle val="smooth"/>
        <c:varyColors val="0"/>
        <c:ser>
          <c:idx val="0"/>
          <c:order val="0"/>
          <c:tx>
            <c:strRef>
              <c:f>"Propellent Mass (kg)"</c:f>
              <c:strCache>
                <c:ptCount val="1"/>
                <c:pt idx="0">
                  <c:v>Propellent Mass (kg)</c:v>
                </c:pt>
              </c:strCache>
            </c:strRef>
          </c:tx>
          <c:spPr>
            <a:ln w="28575" cap="rnd" cmpd="sng" algn="ctr">
              <a:solidFill>
                <a:schemeClr val="accent6">
                  <a:lumMod val="75000"/>
                </a:schemeClr>
              </a:solidFill>
              <a:prstDash val="solid"/>
              <a:round/>
            </a:ln>
          </c:spPr>
          <c:marker>
            <c:symbol val="none"/>
          </c:marker>
          <c:dLbls>
            <c:delete val="1"/>
          </c:dLbls>
          <c:xVal>
            <c:numRef>
              <c:f>VesselCharacteristics!$AC$5:$AC$80</c:f>
              <c:numCache>
                <c:formatCode>General</c:formatCode>
                <c:ptCount val="76"/>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43">
                  <c:v>5750</c:v>
                </c:pt>
                <c:pt idx="53">
                  <c:v>6000</c:v>
                </c:pt>
                <c:pt idx="60">
                  <c:v>6250</c:v>
                </c:pt>
                <c:pt idx="61">
                  <c:v>6500</c:v>
                </c:pt>
                <c:pt idx="62">
                  <c:v>6750</c:v>
                </c:pt>
                <c:pt idx="63">
                  <c:v>7000</c:v>
                </c:pt>
                <c:pt idx="64">
                  <c:v>7250</c:v>
                </c:pt>
                <c:pt idx="65">
                  <c:v>7500</c:v>
                </c:pt>
                <c:pt idx="66">
                  <c:v>7750</c:v>
                </c:pt>
                <c:pt idx="67">
                  <c:v>8000</c:v>
                </c:pt>
                <c:pt idx="68">
                  <c:v>8250</c:v>
                </c:pt>
                <c:pt idx="69">
                  <c:v>8500</c:v>
                </c:pt>
                <c:pt idx="70">
                  <c:v>8750</c:v>
                </c:pt>
                <c:pt idx="71">
                  <c:v>9000</c:v>
                </c:pt>
                <c:pt idx="72">
                  <c:v>9250</c:v>
                </c:pt>
                <c:pt idx="73">
                  <c:v>9500</c:v>
                </c:pt>
                <c:pt idx="74">
                  <c:v>9750</c:v>
                </c:pt>
                <c:pt idx="75">
                  <c:v>10000</c:v>
                </c:pt>
              </c:numCache>
            </c:numRef>
          </c:xVal>
          <c:yVal>
            <c:numRef>
              <c:f>VesselCharacteristics!$AD$5:$AD$80</c:f>
              <c:numCache>
                <c:formatCode>#,##0.00</c:formatCode>
                <c:ptCount val="76"/>
                <c:pt idx="0">
                  <c:v>1.93353846801637</c:v>
                </c:pt>
                <c:pt idx="1">
                  <c:v>4.49017210391592</c:v>
                </c:pt>
                <c:pt idx="2">
                  <c:v>7.87069732042153</c:v>
                </c:pt>
                <c:pt idx="3">
                  <c:v>12.3406184616293</c:v>
                </c:pt>
                <c:pt idx="4">
                  <c:v>18.2510003487579</c:v>
                </c:pt>
                <c:pt idx="5">
                  <c:v>26.0660406924582</c:v>
                </c:pt>
                <c:pt idx="6">
                  <c:v>36.3995278917658</c:v>
                </c:pt>
                <c:pt idx="7">
                  <c:v>50.0630475925095</c:v>
                </c:pt>
                <c:pt idx="8">
                  <c:v>68.1297241182345</c:v>
                </c:pt>
                <c:pt idx="9">
                  <c:v>92.018502985909</c:v>
                </c:pt>
                <c:pt idx="10">
                  <c:v>123.605594002681</c:v>
                </c:pt>
                <c:pt idx="11">
                  <c:v>165.371827615064</c:v>
                </c:pt>
                <c:pt idx="12">
                  <c:v>220.597497786396</c:v>
                </c:pt>
                <c:pt idx="13">
                  <c:v>293.619994240771</c:v>
                </c:pt>
                <c:pt idx="14">
                  <c:v>390.174458349334</c:v>
                </c:pt>
                <c:pt idx="15">
                  <c:v>517.844217559998</c:v>
                </c:pt>
                <c:pt idx="16">
                  <c:v>686.65637521003</c:v>
                </c:pt>
                <c:pt idx="17">
                  <c:v>909.869332974259</c:v>
                </c:pt>
                <c:pt idx="18">
                  <c:v>1205.0140974713</c:v>
                </c:pt>
                <c:pt idx="19">
                  <c:v>1595.27115459977</c:v>
                </c:pt>
                <c:pt idx="20">
                  <c:v>2111.29105045705</c:v>
                </c:pt>
                <c:pt idx="21">
                  <c:v>2793.6016661313</c:v>
                </c:pt>
                <c:pt idx="43">
                  <c:v>3695.79125222923</c:v>
                </c:pt>
                <c:pt idx="53">
                  <c:v>4888.71721668785</c:v>
                </c:pt>
                <c:pt idx="60">
                  <c:v>6466.07122144251</c:v>
                </c:pt>
                <c:pt idx="61">
                  <c:v>8551.73766717598</c:v>
                </c:pt>
                <c:pt idx="62">
                  <c:v>11309.5234969555</c:v>
                </c:pt>
                <c:pt idx="63">
                  <c:v>14956.0234914733</c:v>
                </c:pt>
                <c:pt idx="64">
                  <c:v>19777.6314881614</c:v>
                </c:pt>
                <c:pt idx="65">
                  <c:v>26153.0335747313</c:v>
                </c:pt>
                <c:pt idx="66">
                  <c:v>34582.9498585438</c:v>
                </c:pt>
                <c:pt idx="67">
                  <c:v>45729.4607118411</c:v>
                </c:pt>
                <c:pt idx="68">
                  <c:v>60468.0061516405</c:v>
                </c:pt>
                <c:pt idx="69">
                  <c:v>79956.142353183</c:v>
                </c:pt>
                <c:pt idx="70">
                  <c:v>105724.455390663</c:v>
                </c:pt>
                <c:pt idx="71">
                  <c:v>139796.772513786</c:v>
                </c:pt>
                <c:pt idx="72">
                  <c:v>184849.11227891</c:v>
                </c:pt>
                <c:pt idx="73">
                  <c:v>244419.857379036</c:v>
                </c:pt>
                <c:pt idx="74">
                  <c:v>323187.657015744</c:v>
                </c:pt>
                <c:pt idx="75">
                  <c:v>427338.885092216</c:v>
                </c:pt>
              </c:numCache>
            </c:numRef>
          </c:yVal>
          <c:smooth val="1"/>
        </c:ser>
        <c:dLbls>
          <c:showLegendKey val="0"/>
          <c:showVal val="0"/>
          <c:showCatName val="0"/>
          <c:showSerName val="0"/>
          <c:showPercent val="0"/>
          <c:showBubbleSize val="0"/>
        </c:dLbls>
        <c:axId val="94198400"/>
        <c:axId val="94208384"/>
      </c:scatterChart>
      <c:valAx>
        <c:axId val="94198400"/>
        <c:scaling>
          <c:orientation val="minMax"/>
        </c:scaling>
        <c:delete val="0"/>
        <c:axPos val="b"/>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94208384"/>
        <c:crosses val="autoZero"/>
        <c:crossBetween val="midCat"/>
      </c:valAx>
      <c:valAx>
        <c:axId val="94208384"/>
        <c:scaling>
          <c:orientation val="minMax"/>
        </c:scaling>
        <c:delete val="0"/>
        <c:axPos val="l"/>
        <c:majorGridlines/>
        <c:numFmt formatCode="#,##0.00"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94198400"/>
        <c:crosses val="autoZero"/>
        <c:crossBetween val="midCat"/>
      </c:valAx>
    </c:plotArea>
    <c:legend>
      <c:legendPos val="r"/>
      <c:layout>
        <c:manualLayout>
          <c:xMode val="edge"/>
          <c:yMode val="edge"/>
          <c:x val="0.133028199868152"/>
          <c:y val="0.250420436575863"/>
          <c:w val="0.327057050785968"/>
          <c:h val="0.0862258522032572"/>
        </c:manualLayout>
      </c:layout>
      <c:overlay val="0"/>
      <c:txPr>
        <a:bodyPr rot="0" spcFirstLastPara="0" vertOverflow="ellipsis" vert="horz" wrap="square" anchor="ctr" anchorCtr="1"/>
        <a:lstStyle/>
        <a:p>
          <a:pPr>
            <a:defRPr lang="en-US" sz="845" b="0" i="0" u="none" strike="noStrike" kern="1200" baseline="0">
              <a:solidFill>
                <a:srgbClr val="000000"/>
              </a:solidFill>
              <a:latin typeface="Calibri" panose="020F0502020204030204"/>
              <a:ea typeface="Calibri" panose="020F0502020204030204"/>
              <a:cs typeface="Calibri" panose="020F0502020204030204"/>
            </a:defRPr>
          </a:pPr>
        </a:p>
      </c:txPr>
    </c:legend>
    <c:plotVisOnly val="1"/>
    <c:dispBlanksAs val="gap"/>
    <c:showDLblsOverMax val="0"/>
  </c:chart>
  <c:txPr>
    <a:bodyPr/>
    <a:lstStyle/>
    <a:p>
      <a:pPr>
        <a:defRPr lang="en-US" sz="1000" b="0" i="0" u="none" strike="noStrike" baseline="0">
          <a:solidFill>
            <a:srgbClr val="000000"/>
          </a:solidFill>
          <a:latin typeface="Calibri" panose="020F0502020204030204"/>
          <a:ea typeface="Calibri" panose="020F0502020204030204"/>
          <a:cs typeface="Calibri" panose="020F0502020204030204"/>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
        <c:varyColors val="0"/>
        <c:ser>
          <c:idx val="0"/>
          <c:order val="0"/>
          <c:marker>
            <c:symbol val="none"/>
          </c:marker>
          <c:dLbls>
            <c:delete val="1"/>
          </c:dLbls>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VesselCharacteristics!$AK$66:$AK$76</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1"/>
        </c:ser>
        <c:ser>
          <c:idx val="1"/>
          <c:order val="1"/>
          <c:marker>
            <c:symbol val="none"/>
          </c:marker>
          <c:dLbls>
            <c:delete val="1"/>
          </c:dLbls>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VesselCharacteristics!$AL$66:$AL$76</c:f>
              <c:numCache>
                <c:formatCode>General</c:formatCode>
                <c:ptCount val="11"/>
                <c:pt idx="0">
                  <c:v>0</c:v>
                </c:pt>
                <c:pt idx="1">
                  <c:v>18</c:v>
                </c:pt>
                <c:pt idx="2">
                  <c:v>36</c:v>
                </c:pt>
                <c:pt idx="3">
                  <c:v>54</c:v>
                </c:pt>
                <c:pt idx="4">
                  <c:v>72</c:v>
                </c:pt>
                <c:pt idx="5">
                  <c:v>90</c:v>
                </c:pt>
                <c:pt idx="6">
                  <c:v>72</c:v>
                </c:pt>
                <c:pt idx="7">
                  <c:v>54</c:v>
                </c:pt>
                <c:pt idx="8">
                  <c:v>36</c:v>
                </c:pt>
                <c:pt idx="9">
                  <c:v>18</c:v>
                </c:pt>
                <c:pt idx="10">
                  <c:v>0</c:v>
                </c:pt>
              </c:numCache>
            </c:numRef>
          </c:yVal>
          <c:smooth val="1"/>
        </c:ser>
        <c:ser>
          <c:idx val="2"/>
          <c:order val="2"/>
          <c:marker>
            <c:symbol val="none"/>
          </c:marker>
          <c:dLbls>
            <c:delete val="1"/>
          </c:dLbls>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VesselCharacteristics!$AM$66:$AM$76</c:f>
              <c:numCache>
                <c:formatCode>General</c:formatCode>
                <c:ptCount val="11"/>
                <c:pt idx="0">
                  <c:v>0</c:v>
                </c:pt>
                <c:pt idx="1">
                  <c:v>-3.6</c:v>
                </c:pt>
                <c:pt idx="2">
                  <c:v>-14.4</c:v>
                </c:pt>
                <c:pt idx="3">
                  <c:v>-32.4</c:v>
                </c:pt>
                <c:pt idx="4">
                  <c:v>-57.6</c:v>
                </c:pt>
                <c:pt idx="5">
                  <c:v>-90</c:v>
                </c:pt>
                <c:pt idx="6">
                  <c:v>-129.6</c:v>
                </c:pt>
                <c:pt idx="7">
                  <c:v>-176.4</c:v>
                </c:pt>
                <c:pt idx="8">
                  <c:v>-230.4</c:v>
                </c:pt>
                <c:pt idx="9">
                  <c:v>-291.6</c:v>
                </c:pt>
                <c:pt idx="10">
                  <c:v>-360</c:v>
                </c:pt>
              </c:numCache>
            </c:numRef>
          </c:yVal>
          <c:smooth val="1"/>
        </c:ser>
        <c:dLbls>
          <c:showLegendKey val="0"/>
          <c:showVal val="0"/>
          <c:showCatName val="0"/>
          <c:showSerName val="0"/>
          <c:showPercent val="0"/>
          <c:showBubbleSize val="0"/>
        </c:dLbls>
        <c:axId val="94238976"/>
        <c:axId val="94572544"/>
      </c:scatterChart>
      <c:valAx>
        <c:axId val="94238976"/>
        <c:scaling>
          <c:orientation val="minMax"/>
        </c:scaling>
        <c:delete val="0"/>
        <c:axPos val="b"/>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94572544"/>
        <c:crosses val="autoZero"/>
        <c:crossBetween val="midCat"/>
      </c:valAx>
      <c:valAx>
        <c:axId val="94572544"/>
        <c:scaling>
          <c:orientation val="minMax"/>
        </c:scaling>
        <c:delete val="0"/>
        <c:axPos val="l"/>
        <c:majorGridlines/>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94238976"/>
        <c:crosses val="autoZero"/>
        <c:crossBetween val="midCat"/>
      </c:valAx>
    </c:plotArea>
    <c:legend>
      <c:legendPos val="r"/>
      <c:layout/>
      <c:overlay val="0"/>
      <c:txPr>
        <a:bodyPr rot="0" spcFirstLastPara="0" vertOverflow="ellipsis" vert="horz" wrap="square" anchor="ctr" anchorCtr="1"/>
        <a:lstStyle/>
        <a:p>
          <a:pPr>
            <a:defRPr lang="en-US" sz="845" b="0" i="0" u="none" strike="noStrike" kern="1200" baseline="0">
              <a:solidFill>
                <a:srgbClr val="000000"/>
              </a:solidFill>
              <a:latin typeface="Calibri" panose="020F0502020204030204"/>
              <a:ea typeface="Calibri" panose="020F0502020204030204"/>
              <a:cs typeface="Calibri" panose="020F0502020204030204"/>
            </a:defRPr>
          </a:pPr>
        </a:p>
      </c:txPr>
    </c:legend>
    <c:plotVisOnly val="1"/>
    <c:dispBlanksAs val="gap"/>
    <c:showDLblsOverMax val="0"/>
  </c:chart>
  <c:txPr>
    <a:bodyPr/>
    <a:lstStyle/>
    <a:p>
      <a:pPr>
        <a:defRPr lang="en-US" sz="1000" b="0" i="0" u="none" strike="noStrike" baseline="0">
          <a:solidFill>
            <a:srgbClr val="000000"/>
          </a:solidFill>
          <a:latin typeface="Calibri" panose="020F0502020204030204"/>
          <a:ea typeface="Calibri" panose="020F0502020204030204"/>
          <a:cs typeface="Calibri" panose="020F0502020204030204"/>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t>2D Cross Sectional Chamber</a:t>
            </a:r>
            <a:endParaRPr lang="en-US"/>
          </a:p>
        </c:rich>
      </c:tx>
      <c:layout>
        <c:manualLayout>
          <c:xMode val="edge"/>
          <c:yMode val="edge"/>
          <c:x val="0.31030455852317"/>
          <c:y val="0.0436647334339243"/>
        </c:manualLayout>
      </c:layout>
      <c:overlay val="1"/>
    </c:title>
    <c:autoTitleDeleted val="0"/>
    <c:plotArea>
      <c:layout/>
      <c:scatterChart>
        <c:scatterStyle val="lineMarker"/>
        <c:varyColors val="0"/>
        <c:ser>
          <c:idx val="0"/>
          <c:order val="0"/>
          <c:tx>
            <c:strRef>
              <c:f>VesselCharacteristics!$AH$3</c:f>
              <c:strCache>
                <c:ptCount val="1"/>
                <c:pt idx="0">
                  <c:v>y-top</c:v>
                </c:pt>
              </c:strCache>
            </c:strRef>
          </c:tx>
          <c:spPr>
            <a:ln w="28575" cap="rnd" cmpd="sng" algn="ctr">
              <a:solidFill>
                <a:schemeClr val="tx2">
                  <a:lumMod val="60000"/>
                  <a:lumOff val="40000"/>
                </a:schemeClr>
              </a:solidFill>
              <a:prstDash val="solid"/>
              <a:round/>
            </a:ln>
          </c:spPr>
          <c:marker>
            <c:symbol val="circle"/>
            <c:size val="7"/>
            <c:spPr>
              <a:solidFill>
                <a:schemeClr val="accent1">
                  <a:lumMod val="50000"/>
                </a:schemeClr>
              </a:solidFill>
            </c:spPr>
          </c:marker>
          <c:dLbls>
            <c:delete val="1"/>
          </c:dLbls>
          <c:xVal>
            <c:numRef>
              <c:f>VesselCharacteristics!$AG$4:$AG$8</c:f>
              <c:numCache>
                <c:formatCode>General</c:formatCode>
                <c:ptCount val="5"/>
                <c:pt idx="0">
                  <c:v>0</c:v>
                </c:pt>
                <c:pt idx="1" c:formatCode="#,##0.00000">
                  <c:v>0.99999999898</c:v>
                </c:pt>
                <c:pt idx="2" c:formatCode="#,##0.00000">
                  <c:v>1.09610691117448</c:v>
                </c:pt>
                <c:pt idx="3" c:formatCode="#,##0.00000">
                  <c:v>1.15860691111073</c:v>
                </c:pt>
                <c:pt idx="4" c:formatCode="#,##0.00000">
                  <c:v>2.03753706515075</c:v>
                </c:pt>
              </c:numCache>
            </c:numRef>
          </c:xVal>
          <c:yVal>
            <c:numRef>
              <c:f>VesselCharacteristics!$AH$4:$AH$8</c:f>
              <c:numCache>
                <c:formatCode>#,##0.00000</c:formatCode>
                <c:ptCount val="5"/>
                <c:pt idx="0">
                  <c:v>0.884427648267902</c:v>
                </c:pt>
                <c:pt idx="1">
                  <c:v>0.884427648267902</c:v>
                </c:pt>
                <c:pt idx="2" c:formatCode="General">
                  <c:v>0.788320736073427</c:v>
                </c:pt>
                <c:pt idx="3" c:formatCode="General">
                  <c:v>0.788320736073427</c:v>
                </c:pt>
                <c:pt idx="4" c:formatCode="General">
                  <c:v>0.789854760139368</c:v>
                </c:pt>
              </c:numCache>
            </c:numRef>
          </c:yVal>
          <c:smooth val="0"/>
        </c:ser>
        <c:ser>
          <c:idx val="1"/>
          <c:order val="1"/>
          <c:tx>
            <c:strRef>
              <c:f>VesselCharacteristics!$AI$3</c:f>
              <c:strCache>
                <c:ptCount val="1"/>
                <c:pt idx="0">
                  <c:v>y-bottom</c:v>
                </c:pt>
              </c:strCache>
            </c:strRef>
          </c:tx>
          <c:spPr>
            <a:ln w="28575" cap="rnd" cmpd="sng" algn="ctr">
              <a:solidFill>
                <a:schemeClr val="tx2">
                  <a:lumMod val="60000"/>
                  <a:lumOff val="40000"/>
                </a:schemeClr>
              </a:solidFill>
              <a:prstDash val="solid"/>
              <a:round/>
            </a:ln>
          </c:spPr>
          <c:marker>
            <c:symbol val="circle"/>
            <c:size val="7"/>
            <c:spPr>
              <a:solidFill>
                <a:schemeClr val="accent1">
                  <a:lumMod val="50000"/>
                </a:schemeClr>
              </a:solidFill>
            </c:spPr>
          </c:marker>
          <c:dLbls>
            <c:delete val="1"/>
          </c:dLbls>
          <c:xVal>
            <c:numRef>
              <c:f>VesselCharacteristics!$AG$4:$AG$8</c:f>
              <c:numCache>
                <c:formatCode>General</c:formatCode>
                <c:ptCount val="5"/>
                <c:pt idx="0">
                  <c:v>0</c:v>
                </c:pt>
                <c:pt idx="1" c:formatCode="#,##0.00000">
                  <c:v>0.99999999898</c:v>
                </c:pt>
                <c:pt idx="2" c:formatCode="#,##0.00000">
                  <c:v>1.09610691117448</c:v>
                </c:pt>
                <c:pt idx="3" c:formatCode="#,##0.00000">
                  <c:v>1.15860691111073</c:v>
                </c:pt>
                <c:pt idx="4" c:formatCode="#,##0.00000">
                  <c:v>2.03753706515075</c:v>
                </c:pt>
              </c:numCache>
            </c:numRef>
          </c:xVal>
          <c:yVal>
            <c:numRef>
              <c:f>VesselCharacteristics!$AI$4:$AI$8</c:f>
              <c:numCache>
                <c:formatCode>#,##0.000</c:formatCode>
                <c:ptCount val="5"/>
                <c:pt idx="0">
                  <c:v>0.49999999949</c:v>
                </c:pt>
                <c:pt idx="1" c:formatCode="General">
                  <c:v>0.49999999949</c:v>
                </c:pt>
                <c:pt idx="2" c:formatCode="General">
                  <c:v>0.596106911684475</c:v>
                </c:pt>
                <c:pt idx="3" c:formatCode="General">
                  <c:v>0.596106911684475</c:v>
                </c:pt>
                <c:pt idx="4" c:formatCode="General">
                  <c:v>0.594572887618534</c:v>
                </c:pt>
              </c:numCache>
            </c:numRef>
          </c:yVal>
          <c:smooth val="0"/>
        </c:ser>
        <c:ser>
          <c:idx val="2"/>
          <c:order val="2"/>
          <c:tx>
            <c:strRef>
              <c:f>VesselCharacteristics!$AJ$3</c:f>
              <c:strCache>
                <c:ptCount val="1"/>
                <c:pt idx="0">
                  <c:v>y-top-outer</c:v>
                </c:pt>
              </c:strCache>
            </c:strRef>
          </c:tx>
          <c:spPr>
            <a:ln w="28575" cap="rnd" cmpd="sng" algn="ctr">
              <a:solidFill>
                <a:schemeClr val="tx1">
                  <a:lumMod val="95000"/>
                  <a:lumOff val="5000"/>
                </a:schemeClr>
              </a:solidFill>
              <a:prstDash val="sysDash"/>
              <a:round/>
            </a:ln>
          </c:spPr>
          <c:marker>
            <c:symbol val="diamond"/>
            <c:size val="7"/>
            <c:spPr>
              <a:solidFill>
                <a:schemeClr val="tx1"/>
              </a:solidFill>
            </c:spPr>
          </c:marker>
          <c:dLbls>
            <c:delete val="1"/>
          </c:dLbls>
          <c:xVal>
            <c:numRef>
              <c:f>(VesselCharacteristics!$AG$4,VesselCharacteristics!$AG$8)</c:f>
              <c:numCache>
                <c:formatCode>General</c:formatCode>
                <c:ptCount val="2"/>
                <c:pt idx="0">
                  <c:v>0</c:v>
                </c:pt>
                <c:pt idx="1" c:formatCode="#,##0.00000">
                  <c:v>2.03753706515075</c:v>
                </c:pt>
              </c:numCache>
            </c:numRef>
          </c:xVal>
          <c:yVal>
            <c:numRef>
              <c:f>(VesselCharacteristics!$AJ$4,VesselCharacteristics!$AJ$8)</c:f>
              <c:numCache>
                <c:formatCode>#,##0.00000</c:formatCode>
                <c:ptCount val="2"/>
                <c:pt idx="0">
                  <c:v>1.3844276477579</c:v>
                </c:pt>
                <c:pt idx="1">
                  <c:v>1.3844276477579</c:v>
                </c:pt>
              </c:numCache>
            </c:numRef>
          </c:yVal>
          <c:smooth val="0"/>
        </c:ser>
        <c:ser>
          <c:idx val="3"/>
          <c:order val="3"/>
          <c:tx>
            <c:strRef>
              <c:f>VesselCharacteristics!$AL$3</c:f>
              <c:strCache>
                <c:ptCount val="1"/>
                <c:pt idx="0">
                  <c:v>y-tube-top-upper</c:v>
                </c:pt>
              </c:strCache>
            </c:strRef>
          </c:tx>
          <c:spPr>
            <a:ln w="28575" cap="rnd" cmpd="sng" algn="ctr">
              <a:solidFill>
                <a:srgbClr val="FFC000"/>
              </a:solidFill>
              <a:prstDash val="solid"/>
              <a:round/>
            </a:ln>
          </c:spPr>
          <c:marker>
            <c:symbol val="diamond"/>
            <c:size val="7"/>
            <c:spPr>
              <a:solidFill>
                <a:srgbClr val="FFC000"/>
              </a:solidFill>
              <a:ln w="9525" cap="flat" cmpd="sng" algn="ctr">
                <a:solidFill>
                  <a:srgbClr val="FFC000"/>
                </a:solidFill>
                <a:prstDash val="solid"/>
                <a:round/>
              </a:ln>
            </c:spPr>
          </c:marker>
          <c:dLbls>
            <c:delete val="1"/>
          </c:dLbls>
          <c:xVal>
            <c:numRef>
              <c:f>VesselCharacteristics!$AG$4:$AG$8</c:f>
              <c:numCache>
                <c:formatCode>General</c:formatCode>
                <c:ptCount val="5"/>
                <c:pt idx="0">
                  <c:v>0</c:v>
                </c:pt>
                <c:pt idx="1" c:formatCode="#,##0.00000">
                  <c:v>0.99999999898</c:v>
                </c:pt>
                <c:pt idx="2" c:formatCode="#,##0.00000">
                  <c:v>1.09610691117448</c:v>
                </c:pt>
                <c:pt idx="3" c:formatCode="#,##0.00000">
                  <c:v>1.15860691111073</c:v>
                </c:pt>
                <c:pt idx="4" c:formatCode="#,##0.00000">
                  <c:v>2.03753706515075</c:v>
                </c:pt>
              </c:numCache>
            </c:numRef>
          </c:xVal>
          <c:yVal>
            <c:numRef>
              <c:f>VesselCharacteristics!$AL$4:$AL$8</c:f>
              <c:numCache>
                <c:formatCode>#,##0.00000</c:formatCode>
                <c:ptCount val="5"/>
                <c:pt idx="0">
                  <c:v>0.884427648267902</c:v>
                </c:pt>
                <c:pt idx="1">
                  <c:v>0.884427648267902</c:v>
                </c:pt>
                <c:pt idx="2">
                  <c:v>0.788320736073427</c:v>
                </c:pt>
                <c:pt idx="3">
                  <c:v>0.788320736073427</c:v>
                </c:pt>
                <c:pt idx="4">
                  <c:v>0.789854760139368</c:v>
                </c:pt>
              </c:numCache>
            </c:numRef>
          </c:yVal>
          <c:smooth val="0"/>
        </c:ser>
        <c:ser>
          <c:idx val="4"/>
          <c:order val="4"/>
          <c:tx>
            <c:strRef>
              <c:f>VesselCharacteristics!$AM$3</c:f>
              <c:strCache>
                <c:ptCount val="1"/>
                <c:pt idx="0">
                  <c:v>y-tube-top-lower</c:v>
                </c:pt>
              </c:strCache>
            </c:strRef>
          </c:tx>
          <c:spPr>
            <a:ln w="28575" cap="rnd" cmpd="sng" algn="ctr">
              <a:solidFill>
                <a:srgbClr val="FFC000"/>
              </a:solidFill>
              <a:prstDash val="solid"/>
              <a:round/>
            </a:ln>
          </c:spPr>
          <c:marker>
            <c:symbol val="diamond"/>
            <c:size val="7"/>
            <c:spPr>
              <a:solidFill>
                <a:srgbClr val="FFC000"/>
              </a:solidFill>
              <a:ln w="9525" cap="flat" cmpd="sng" algn="ctr">
                <a:solidFill>
                  <a:srgbClr val="FFC000"/>
                </a:solidFill>
                <a:prstDash val="solid"/>
                <a:round/>
              </a:ln>
            </c:spPr>
          </c:marker>
          <c:dLbls>
            <c:delete val="1"/>
          </c:dLbls>
          <c:xVal>
            <c:numRef>
              <c:f>VesselCharacteristics!$AG$4:$AG$8</c:f>
              <c:numCache>
                <c:formatCode>General</c:formatCode>
                <c:ptCount val="5"/>
                <c:pt idx="0">
                  <c:v>0</c:v>
                </c:pt>
                <c:pt idx="1" c:formatCode="#,##0.00000">
                  <c:v>0.99999999898</c:v>
                </c:pt>
                <c:pt idx="2" c:formatCode="#,##0.00000">
                  <c:v>1.09610691117448</c:v>
                </c:pt>
                <c:pt idx="3" c:formatCode="#,##0.00000">
                  <c:v>1.15860691111073</c:v>
                </c:pt>
                <c:pt idx="4" c:formatCode="#,##0.00000">
                  <c:v>2.03753706515075</c:v>
                </c:pt>
              </c:numCache>
            </c:numRef>
          </c:xVal>
          <c:yVal>
            <c:numRef>
              <c:f>VesselCharacteristics!$AM$4:$AM$8</c:f>
              <c:numCache>
                <c:formatCode>#,##0.00000</c:formatCode>
                <c:ptCount val="5"/>
                <c:pt idx="0">
                  <c:v>0.884427648267902</c:v>
                </c:pt>
                <c:pt idx="1">
                  <c:v>0.884427648267902</c:v>
                </c:pt>
                <c:pt idx="2">
                  <c:v>0.788320736073427</c:v>
                </c:pt>
                <c:pt idx="3">
                  <c:v>0.788320736073427</c:v>
                </c:pt>
                <c:pt idx="4">
                  <c:v>0.789854760139368</c:v>
                </c:pt>
              </c:numCache>
            </c:numRef>
          </c:yVal>
          <c:smooth val="0"/>
        </c:ser>
        <c:ser>
          <c:idx val="5"/>
          <c:order val="5"/>
          <c:tx>
            <c:strRef>
              <c:f>VesselCharacteristics!$AN$3</c:f>
              <c:strCache>
                <c:ptCount val="1"/>
                <c:pt idx="0">
                  <c:v>y-tube-bottom-upper</c:v>
                </c:pt>
              </c:strCache>
            </c:strRef>
          </c:tx>
          <c:spPr>
            <a:ln w="28575" cap="rnd" cmpd="sng" algn="ctr">
              <a:solidFill>
                <a:srgbClr val="FFC000"/>
              </a:solidFill>
              <a:prstDash val="solid"/>
              <a:round/>
            </a:ln>
          </c:spPr>
          <c:marker>
            <c:symbol val="diamond"/>
            <c:size val="7"/>
            <c:spPr>
              <a:solidFill>
                <a:srgbClr val="FFC000"/>
              </a:solidFill>
              <a:ln w="9525" cap="flat" cmpd="sng" algn="ctr">
                <a:solidFill>
                  <a:srgbClr val="FFC000"/>
                </a:solidFill>
                <a:prstDash val="solid"/>
                <a:round/>
              </a:ln>
            </c:spPr>
          </c:marker>
          <c:dLbls>
            <c:delete val="1"/>
          </c:dLbls>
          <c:xVal>
            <c:numRef>
              <c:f>VesselCharacteristics!$AG$4:$AG$8</c:f>
              <c:numCache>
                <c:formatCode>General</c:formatCode>
                <c:ptCount val="5"/>
                <c:pt idx="0">
                  <c:v>0</c:v>
                </c:pt>
                <c:pt idx="1" c:formatCode="#,##0.00000">
                  <c:v>0.99999999898</c:v>
                </c:pt>
                <c:pt idx="2" c:formatCode="#,##0.00000">
                  <c:v>1.09610691117448</c:v>
                </c:pt>
                <c:pt idx="3" c:formatCode="#,##0.00000">
                  <c:v>1.15860691111073</c:v>
                </c:pt>
                <c:pt idx="4" c:formatCode="#,##0.00000">
                  <c:v>2.03753706515075</c:v>
                </c:pt>
              </c:numCache>
            </c:numRef>
          </c:xVal>
          <c:yVal>
            <c:numRef>
              <c:f>VesselCharacteristics!$AN$4:$AN$8</c:f>
              <c:numCache>
                <c:formatCode>#,##0.00000</c:formatCode>
                <c:ptCount val="5"/>
                <c:pt idx="0">
                  <c:v>0.49999999949</c:v>
                </c:pt>
                <c:pt idx="1">
                  <c:v>0.49999999949</c:v>
                </c:pt>
                <c:pt idx="2">
                  <c:v>0.596106911684475</c:v>
                </c:pt>
                <c:pt idx="3">
                  <c:v>0.596106911684475</c:v>
                </c:pt>
                <c:pt idx="4">
                  <c:v>0.594572887618534</c:v>
                </c:pt>
              </c:numCache>
            </c:numRef>
          </c:yVal>
          <c:smooth val="0"/>
        </c:ser>
        <c:ser>
          <c:idx val="6"/>
          <c:order val="6"/>
          <c:tx>
            <c:strRef>
              <c:f>VesselCharacteristics!$AO$3</c:f>
              <c:strCache>
                <c:ptCount val="1"/>
                <c:pt idx="0">
                  <c:v>y-tube-bottom-lower</c:v>
                </c:pt>
              </c:strCache>
            </c:strRef>
          </c:tx>
          <c:spPr>
            <a:ln w="28575" cap="rnd" cmpd="sng" algn="ctr">
              <a:solidFill>
                <a:srgbClr val="FFC000"/>
              </a:solidFill>
              <a:prstDash val="solid"/>
              <a:round/>
            </a:ln>
          </c:spPr>
          <c:marker>
            <c:symbol val="diamond"/>
            <c:size val="7"/>
            <c:spPr>
              <a:solidFill>
                <a:srgbClr val="FFC000"/>
              </a:solidFill>
              <a:ln w="9525" cap="flat" cmpd="sng" algn="ctr">
                <a:solidFill>
                  <a:srgbClr val="FFC000"/>
                </a:solidFill>
                <a:prstDash val="solid"/>
                <a:round/>
              </a:ln>
            </c:spPr>
          </c:marker>
          <c:dLbls>
            <c:delete val="1"/>
          </c:dLbls>
          <c:xVal>
            <c:numRef>
              <c:f>VesselCharacteristics!$AG$4:$AG$8</c:f>
              <c:numCache>
                <c:formatCode>General</c:formatCode>
                <c:ptCount val="5"/>
                <c:pt idx="0">
                  <c:v>0</c:v>
                </c:pt>
                <c:pt idx="1" c:formatCode="#,##0.00000">
                  <c:v>0.99999999898</c:v>
                </c:pt>
                <c:pt idx="2" c:formatCode="#,##0.00000">
                  <c:v>1.09610691117448</c:v>
                </c:pt>
                <c:pt idx="3" c:formatCode="#,##0.00000">
                  <c:v>1.15860691111073</c:v>
                </c:pt>
                <c:pt idx="4" c:formatCode="#,##0.00000">
                  <c:v>2.03753706515075</c:v>
                </c:pt>
              </c:numCache>
            </c:numRef>
          </c:xVal>
          <c:yVal>
            <c:numRef>
              <c:f>VesselCharacteristics!$AO$4:$AO$8</c:f>
              <c:numCache>
                <c:formatCode>#,##0.0000000000000</c:formatCode>
                <c:ptCount val="5"/>
                <c:pt idx="0">
                  <c:v>0.49999999949</c:v>
                </c:pt>
                <c:pt idx="1" c:formatCode="#,##0.00000">
                  <c:v>0.49999999949</c:v>
                </c:pt>
                <c:pt idx="2" c:formatCode="#,##0.00000">
                  <c:v>0.596106911684475</c:v>
                </c:pt>
                <c:pt idx="3" c:formatCode="#,##0.00000">
                  <c:v>0.596106911684475</c:v>
                </c:pt>
                <c:pt idx="4" c:formatCode="#,##0.00000">
                  <c:v>0.594572887618534</c:v>
                </c:pt>
              </c:numCache>
            </c:numRef>
          </c:yVal>
          <c:smooth val="0"/>
        </c:ser>
        <c:dLbls>
          <c:showLegendKey val="0"/>
          <c:showVal val="0"/>
          <c:showCatName val="0"/>
          <c:showSerName val="0"/>
          <c:showPercent val="0"/>
          <c:showBubbleSize val="0"/>
        </c:dLbls>
        <c:axId val="94625152"/>
        <c:axId val="94631808"/>
      </c:scatterChart>
      <c:valAx>
        <c:axId val="94625152"/>
        <c:scaling>
          <c:orientation val="minMax"/>
        </c:scaling>
        <c:delete val="0"/>
        <c:axPos val="b"/>
        <c:majorGridlines>
          <c:spPr>
            <a:ln w="9525" cap="flat" cmpd="sng" algn="ctr">
              <a:solidFill>
                <a:schemeClr val="bg1">
                  <a:lumMod val="75000"/>
                </a:schemeClr>
              </a:solidFill>
              <a:prstDash val="solid"/>
              <a:round/>
            </a:ln>
          </c:spPr>
        </c:majorGridlines>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Length (inches)</a:t>
                </a:r>
                <a:endParaRPr lang="en-US"/>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94631808"/>
        <c:crosses val="autoZero"/>
        <c:crossBetween val="midCat"/>
      </c:valAx>
      <c:valAx>
        <c:axId val="94631808"/>
        <c:scaling>
          <c:orientation val="minMax"/>
          <c:min val="0"/>
        </c:scaling>
        <c:delete val="0"/>
        <c:axPos val="l"/>
        <c:majorGridlines>
          <c:spPr>
            <a:ln w="9525" cap="flat" cmpd="sng" algn="ctr">
              <a:solidFill>
                <a:schemeClr val="bg1">
                  <a:lumMod val="65000"/>
                </a:schemeClr>
              </a:solidFill>
              <a:prstDash val="solid"/>
              <a:round/>
            </a:ln>
          </c:spPr>
        </c:majorGridlines>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Height (inches)</a:t>
                </a:r>
                <a:endParaRPr lang="en-US"/>
              </a:p>
            </c:rich>
          </c:tx>
          <c:layout/>
          <c:overlay val="0"/>
        </c:title>
        <c:numFmt formatCode="#,##0.0000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94625152"/>
        <c:crossesAt val="0"/>
        <c:crossBetween val="midCat"/>
      </c:valAx>
    </c:plotArea>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18</xdr:col>
      <xdr:colOff>1669257</xdr:colOff>
      <xdr:row>18</xdr:row>
      <xdr:rowOff>200026</xdr:rowOff>
    </xdr:from>
    <xdr:to>
      <xdr:col>27</xdr:col>
      <xdr:colOff>285751</xdr:colOff>
      <xdr:row>37</xdr:row>
      <xdr:rowOff>190500</xdr:rowOff>
    </xdr:to>
    <xdr:graphicFrame>
      <xdr:nvGraphicFramePr>
        <xdr:cNvPr id="3497987" name="Chart 6"/>
        <xdr:cNvGraphicFramePr/>
      </xdr:nvGraphicFramePr>
      <xdr:xfrm>
        <a:off x="35829240" y="3861435"/>
        <a:ext cx="6306185" cy="42595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1657350</xdr:colOff>
      <xdr:row>1</xdr:row>
      <xdr:rowOff>197644</xdr:rowOff>
    </xdr:from>
    <xdr:to>
      <xdr:col>27</xdr:col>
      <xdr:colOff>259556</xdr:colOff>
      <xdr:row>17</xdr:row>
      <xdr:rowOff>180976</xdr:rowOff>
    </xdr:to>
    <xdr:graphicFrame>
      <xdr:nvGraphicFramePr>
        <xdr:cNvPr id="3497989" name="Chart 6"/>
        <xdr:cNvGraphicFramePr/>
      </xdr:nvGraphicFramePr>
      <xdr:xfrm>
        <a:off x="35817810" y="374650"/>
        <a:ext cx="6290945" cy="32543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152400</xdr:colOff>
      <xdr:row>22</xdr:row>
      <xdr:rowOff>85725</xdr:rowOff>
    </xdr:from>
    <xdr:to>
      <xdr:col>51</xdr:col>
      <xdr:colOff>476250</xdr:colOff>
      <xdr:row>74</xdr:row>
      <xdr:rowOff>142875</xdr:rowOff>
    </xdr:to>
    <xdr:graphicFrame>
      <xdr:nvGraphicFramePr>
        <xdr:cNvPr id="3497990" name="Chart 25"/>
        <xdr:cNvGraphicFramePr/>
      </xdr:nvGraphicFramePr>
      <xdr:xfrm>
        <a:off x="60351670" y="4720590"/>
        <a:ext cx="4644390" cy="109804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297656</xdr:colOff>
      <xdr:row>65</xdr:row>
      <xdr:rowOff>0</xdr:rowOff>
    </xdr:from>
    <xdr:to>
      <xdr:col>11</xdr:col>
      <xdr:colOff>440531</xdr:colOff>
      <xdr:row>92</xdr:row>
      <xdr:rowOff>0</xdr:rowOff>
    </xdr:to>
    <xdr:graphicFrame>
      <xdr:nvGraphicFramePr>
        <xdr:cNvPr id="3" name="Chart 1"/>
        <xdr:cNvGraphicFramePr/>
      </xdr:nvGraphicFramePr>
      <xdr:xfrm>
        <a:off x="15276195" y="14039850"/>
        <a:ext cx="8156575" cy="454533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0</xdr:colOff>
      <xdr:row>5</xdr:row>
      <xdr:rowOff>0</xdr:rowOff>
    </xdr:from>
    <xdr:to>
      <xdr:col>18</xdr:col>
      <xdr:colOff>342476</xdr:colOff>
      <xdr:row>14</xdr:row>
      <xdr:rowOff>85532</xdr:rowOff>
    </xdr:to>
    <xdr:pic>
      <xdr:nvPicPr>
        <xdr:cNvPr id="4" name="Picture 3"/>
        <xdr:cNvPicPr>
          <a:picLocks noChangeAspect="1"/>
        </xdr:cNvPicPr>
      </xdr:nvPicPr>
      <xdr:blipFill>
        <a:blip r:embed="rId1"/>
        <a:stretch>
          <a:fillRect/>
        </a:stretch>
      </xdr:blipFill>
      <xdr:spPr>
        <a:xfrm>
          <a:off x="15694660" y="838200"/>
          <a:ext cx="3428365" cy="1593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IV92"/>
  <sheetViews>
    <sheetView tabSelected="1" zoomScale="80" zoomScaleNormal="80" workbookViewId="0">
      <selection activeCell="C65" sqref="C65"/>
    </sheetView>
  </sheetViews>
  <sheetFormatPr defaultColWidth="9" defaultRowHeight="13.2"/>
  <cols>
    <col min="1" max="1" width="4.42592592592593" customWidth="1"/>
    <col min="2" max="2" width="38.8518518518519" customWidth="1"/>
    <col min="3" max="3" width="31.5740740740741" customWidth="1"/>
    <col min="4" max="4" width="25.712962962963" customWidth="1"/>
    <col min="5" max="5" width="49.5740740740741" customWidth="1"/>
    <col min="6" max="6" width="32.4259259259259" customWidth="1"/>
    <col min="7" max="7" width="35.8518518518519" customWidth="1"/>
    <col min="8" max="8" width="53.4259259259259" customWidth="1"/>
    <col min="9" max="9" width="18.287037037037" customWidth="1"/>
    <col min="10" max="10" width="20.287037037037" customWidth="1"/>
    <col min="11" max="11" width="24.8518518518519" customWidth="1"/>
    <col min="12" max="12" width="19.1388888888889" customWidth="1"/>
    <col min="13" max="13" width="22.287037037037" customWidth="1"/>
    <col min="14" max="14" width="23.4259259259259" customWidth="1"/>
    <col min="15" max="15" width="25" customWidth="1"/>
    <col min="16" max="16" width="24.1388888888889" customWidth="1"/>
    <col min="17" max="17" width="26.712962962963" customWidth="1"/>
    <col min="18" max="18" width="22.1388888888889" customWidth="1"/>
    <col min="19" max="19" width="33" customWidth="1"/>
    <col min="21" max="21" width="9.13888888888889" customWidth="1"/>
    <col min="22" max="22" width="8.13888888888889" customWidth="1"/>
    <col min="23" max="24" width="13" customWidth="1"/>
    <col min="25" max="25" width="10.8518518518519" customWidth="1"/>
    <col min="26" max="26" width="13.8518518518519" customWidth="1"/>
    <col min="27" max="27" width="2.13888888888889" customWidth="1"/>
    <col min="29" max="29" width="26.712962962963" customWidth="1"/>
    <col min="30" max="30" width="22.1388888888889" customWidth="1"/>
    <col min="31" max="31" width="33" customWidth="1"/>
    <col min="33" max="33" width="19.287037037037" customWidth="1"/>
    <col min="36" max="36" width="12.287037037037" customWidth="1"/>
    <col min="37" max="37" width="16.4259259259259" customWidth="1"/>
    <col min="38" max="38" width="18.1388888888889" customWidth="1"/>
    <col min="39" max="39" width="18" customWidth="1"/>
    <col min="40" max="41" width="19.287037037037" customWidth="1"/>
  </cols>
  <sheetData>
    <row r="1" ht="13.95" spans="3:3">
      <c r="C1" s="3"/>
    </row>
    <row r="2" ht="18.15" spans="3:36">
      <c r="C2" s="17" t="s">
        <v>0</v>
      </c>
      <c r="D2" s="18"/>
      <c r="E2" s="18"/>
      <c r="F2" s="18"/>
      <c r="G2" s="19"/>
      <c r="H2" s="20"/>
      <c r="AG2" s="223" t="s">
        <v>1</v>
      </c>
      <c r="AH2" s="224"/>
      <c r="AI2" s="224"/>
      <c r="AJ2" s="224"/>
    </row>
    <row r="3" ht="15.15" spans="10:43">
      <c r="J3" s="153">
        <f>0.7911*10^-4</f>
        <v>7.911e-5</v>
      </c>
      <c r="K3">
        <f>0.5*0.5*20</f>
        <v>5</v>
      </c>
      <c r="L3">
        <f>K3/1000</f>
        <v>0.005</v>
      </c>
      <c r="AC3" s="213" t="s">
        <v>2</v>
      </c>
      <c r="AD3" s="214"/>
      <c r="AE3" s="215"/>
      <c r="AG3" s="1" t="s">
        <v>3</v>
      </c>
      <c r="AH3" s="1" t="s">
        <v>4</v>
      </c>
      <c r="AI3" s="1" t="s">
        <v>5</v>
      </c>
      <c r="AJ3" s="1" t="s">
        <v>6</v>
      </c>
      <c r="AK3" s="1" t="s">
        <v>7</v>
      </c>
      <c r="AL3" s="1" t="s">
        <v>8</v>
      </c>
      <c r="AM3" s="225" t="s">
        <v>9</v>
      </c>
      <c r="AN3" s="225" t="s">
        <v>10</v>
      </c>
      <c r="AO3" s="225" t="s">
        <v>11</v>
      </c>
      <c r="AP3" s="231"/>
      <c r="AQ3" s="231"/>
    </row>
    <row r="4" ht="12.75" customHeight="1" spans="2:43">
      <c r="B4" s="21" t="s">
        <v>12</v>
      </c>
      <c r="C4" s="22"/>
      <c r="D4" s="22"/>
      <c r="E4" s="22"/>
      <c r="F4" s="22"/>
      <c r="G4" s="23"/>
      <c r="AC4" s="216" t="s">
        <v>13</v>
      </c>
      <c r="AD4" s="217" t="s">
        <v>14</v>
      </c>
      <c r="AE4" s="218" t="s">
        <v>15</v>
      </c>
      <c r="AG4">
        <v>0</v>
      </c>
      <c r="AH4" s="226">
        <f>C34+AI4</f>
        <v>0.884427648267902</v>
      </c>
      <c r="AI4" s="227">
        <f>AG4+C62+I23+I49</f>
        <v>0.49999999949</v>
      </c>
      <c r="AJ4" s="228">
        <f>AM4+C62</f>
        <v>1.3844276477579</v>
      </c>
      <c r="AK4" s="227">
        <f>AI4-C62</f>
        <v>0</v>
      </c>
      <c r="AL4" s="226">
        <f t="shared" ref="AL4:AL8" si="0">$I$23+AH4</f>
        <v>0.884427648267902</v>
      </c>
      <c r="AM4" s="226">
        <f t="shared" ref="AM4:AM8" si="1">$I$23+$I$49+AH4</f>
        <v>0.884427648267902</v>
      </c>
      <c r="AN4" s="226">
        <f t="shared" ref="AN4:AN8" si="2">AI4-$I$23</f>
        <v>0.49999999949</v>
      </c>
      <c r="AO4" s="232">
        <f t="shared" ref="AO4:AO8" si="3">AI4-$I$23-$I$49</f>
        <v>0.49999999949</v>
      </c>
      <c r="AP4" s="3"/>
      <c r="AQ4" s="3"/>
    </row>
    <row r="5" ht="15.6" spans="2:41">
      <c r="B5" s="24"/>
      <c r="C5" s="25"/>
      <c r="D5" s="25"/>
      <c r="E5" s="25"/>
      <c r="F5" s="25"/>
      <c r="G5" s="26"/>
      <c r="H5" s="27"/>
      <c r="I5" s="27"/>
      <c r="J5" s="27"/>
      <c r="K5" s="27">
        <f>0.00003</f>
        <v>3e-5</v>
      </c>
      <c r="L5" s="27">
        <f>K5/24</f>
        <v>1.25e-6</v>
      </c>
      <c r="M5">
        <v>0.049668</v>
      </c>
      <c r="AC5" s="219">
        <v>250</v>
      </c>
      <c r="AD5" s="220">
        <f t="shared" ref="AD5:AD26" si="4">$F$18*(EXP(AC5/$C$23)-1)</f>
        <v>1.93353846801637</v>
      </c>
      <c r="AE5" s="221"/>
      <c r="AG5" s="226">
        <f>C36+AG4</f>
        <v>0.99999999898</v>
      </c>
      <c r="AH5" s="226">
        <f>AH4</f>
        <v>0.884427648267902</v>
      </c>
      <c r="AI5">
        <f>AI4</f>
        <v>0.49999999949</v>
      </c>
      <c r="AJ5" s="228"/>
      <c r="AL5" s="226">
        <f t="shared" si="0"/>
        <v>0.884427648267902</v>
      </c>
      <c r="AM5" s="226">
        <f t="shared" si="1"/>
        <v>0.884427648267902</v>
      </c>
      <c r="AN5" s="226">
        <f t="shared" si="2"/>
        <v>0.49999999949</v>
      </c>
      <c r="AO5" s="226">
        <f t="shared" si="3"/>
        <v>0.49999999949</v>
      </c>
    </row>
    <row r="6" ht="13.95" spans="2:41">
      <c r="B6" s="28"/>
      <c r="C6" s="29"/>
      <c r="D6" s="29"/>
      <c r="E6" s="29"/>
      <c r="F6" s="29"/>
      <c r="G6" s="30"/>
      <c r="K6">
        <f>(C8*C10)/(C8-1)</f>
        <v>1636.14186207366</v>
      </c>
      <c r="M6">
        <f>3/64</f>
        <v>0.046875</v>
      </c>
      <c r="AC6" s="219">
        <v>500</v>
      </c>
      <c r="AD6" s="220">
        <f t="shared" si="4"/>
        <v>4.49017210391592</v>
      </c>
      <c r="AE6" s="222">
        <f t="shared" ref="AE6:AE26" si="5">AD6-AD5</f>
        <v>2.55663363589955</v>
      </c>
      <c r="AG6" s="226">
        <f>AG5+C39</f>
        <v>1.09610691117448</v>
      </c>
      <c r="AH6">
        <f>AH5-(C39*TAN(RADIANS(C37)))</f>
        <v>0.788320736073427</v>
      </c>
      <c r="AI6">
        <f>AI5+(C39*TAN(RADIANS(C37)))</f>
        <v>0.596106911684475</v>
      </c>
      <c r="AJ6" s="3"/>
      <c r="AL6" s="226">
        <f t="shared" si="0"/>
        <v>0.788320736073427</v>
      </c>
      <c r="AM6" s="226">
        <f t="shared" si="1"/>
        <v>0.788320736073427</v>
      </c>
      <c r="AN6" s="226">
        <f t="shared" si="2"/>
        <v>0.596106911684475</v>
      </c>
      <c r="AO6" s="226">
        <f t="shared" si="3"/>
        <v>0.596106911684475</v>
      </c>
    </row>
    <row r="7" ht="13.95" spans="29:43">
      <c r="AC7" s="219">
        <v>750</v>
      </c>
      <c r="AD7" s="220">
        <f t="shared" si="4"/>
        <v>7.87069732042153</v>
      </c>
      <c r="AE7" s="222">
        <f t="shared" si="5"/>
        <v>3.38052521650561</v>
      </c>
      <c r="AG7" s="226">
        <f>AG6+C51</f>
        <v>1.15860691111073</v>
      </c>
      <c r="AH7">
        <f>AH6</f>
        <v>0.788320736073427</v>
      </c>
      <c r="AI7">
        <f>AI6</f>
        <v>0.596106911684475</v>
      </c>
      <c r="AJ7" s="3"/>
      <c r="AL7" s="226">
        <f t="shared" si="0"/>
        <v>0.788320736073427</v>
      </c>
      <c r="AM7" s="226">
        <f t="shared" si="1"/>
        <v>0.788320736073427</v>
      </c>
      <c r="AN7" s="226">
        <f t="shared" si="2"/>
        <v>0.596106911684475</v>
      </c>
      <c r="AO7" s="226">
        <f t="shared" si="3"/>
        <v>0.596106911684475</v>
      </c>
      <c r="AP7" s="226"/>
      <c r="AQ7" s="227"/>
    </row>
    <row r="8" ht="16.8" spans="2:42">
      <c r="B8" s="31" t="s">
        <v>16</v>
      </c>
      <c r="C8" s="32">
        <f>2.4536/1.9484</f>
        <v>1.25928967357832</v>
      </c>
      <c r="D8" s="33"/>
      <c r="E8" s="34" t="s">
        <v>17</v>
      </c>
      <c r="F8" s="35">
        <v>0</v>
      </c>
      <c r="G8" s="36" t="s">
        <v>18</v>
      </c>
      <c r="H8" s="37" t="s">
        <v>19</v>
      </c>
      <c r="I8" s="154">
        <v>1</v>
      </c>
      <c r="K8">
        <f>(I16*I18)/(I21/1000)</f>
        <v>0.0022413018650848</v>
      </c>
      <c r="Q8" s="34" t="s">
        <v>20</v>
      </c>
      <c r="R8" s="45">
        <v>0</v>
      </c>
      <c r="S8" s="46" t="s">
        <v>21</v>
      </c>
      <c r="AC8" s="219">
        <v>1000</v>
      </c>
      <c r="AD8" s="220">
        <f t="shared" si="4"/>
        <v>12.3406184616293</v>
      </c>
      <c r="AE8" s="222">
        <f t="shared" si="5"/>
        <v>4.46992114120776</v>
      </c>
      <c r="AG8" s="226">
        <f>AG7+C58</f>
        <v>2.03753706515075</v>
      </c>
      <c r="AH8">
        <f>AH7+(C58*TAN(RADIANS(C56)))</f>
        <v>0.789854760139368</v>
      </c>
      <c r="AI8">
        <f>AI7-(C58*TAN(RADIANS(C56)))</f>
        <v>0.594572887618534</v>
      </c>
      <c r="AJ8" s="228">
        <f>AJ4</f>
        <v>1.3844276477579</v>
      </c>
      <c r="AK8" s="229">
        <f>AK4</f>
        <v>0</v>
      </c>
      <c r="AL8" s="226">
        <f t="shared" si="0"/>
        <v>0.789854760139368</v>
      </c>
      <c r="AM8" s="226">
        <f t="shared" si="1"/>
        <v>0.789854760139368</v>
      </c>
      <c r="AN8" s="226">
        <f t="shared" si="2"/>
        <v>0.594572887618534</v>
      </c>
      <c r="AO8" s="226">
        <f t="shared" si="3"/>
        <v>0.594572887618534</v>
      </c>
      <c r="AP8" s="3"/>
    </row>
    <row r="9" ht="16.8" spans="2:256">
      <c r="B9" s="38" t="s">
        <v>22</v>
      </c>
      <c r="C9" s="39">
        <v>24.68</v>
      </c>
      <c r="E9" s="38" t="s">
        <v>23</v>
      </c>
      <c r="F9" s="40">
        <v>1</v>
      </c>
      <c r="G9" s="36" t="s">
        <v>18</v>
      </c>
      <c r="H9" s="41" t="s">
        <v>24</v>
      </c>
      <c r="I9" s="155">
        <f>IF(ISBLANK(I8),C11*(9/5),(C11*(9/5))*I8^2)</f>
        <v>5500.8</v>
      </c>
      <c r="J9" s="3" t="s">
        <v>25</v>
      </c>
      <c r="K9">
        <f t="shared" ref="K9:M9" si="6">I27*144*60*60*3.1525/1000</f>
        <v>3.67431674079835</v>
      </c>
      <c r="L9">
        <f t="shared" si="6"/>
        <v>12.3621270909998</v>
      </c>
      <c r="M9">
        <f t="shared" si="6"/>
        <v>12.170349567217</v>
      </c>
      <c r="Q9" s="34" t="s">
        <v>26</v>
      </c>
      <c r="R9" s="45">
        <v>90</v>
      </c>
      <c r="S9" s="46" t="s">
        <v>21</v>
      </c>
      <c r="AC9" s="219">
        <v>1250</v>
      </c>
      <c r="AD9" s="220">
        <f t="shared" si="4"/>
        <v>18.2510003487579</v>
      </c>
      <c r="AE9" s="222">
        <f t="shared" si="5"/>
        <v>5.91038188712857</v>
      </c>
      <c r="AG9" s="226"/>
      <c r="IU9" t="str">
        <f>"J"&amp;(ROUNDUP($F$23,0)+52)</f>
        <v>J54</v>
      </c>
      <c r="IV9" t="str">
        <f>"K"&amp;(ROUNDUP($F$23,0)+52)</f>
        <v>K54</v>
      </c>
    </row>
    <row r="10" ht="16.8" spans="2:255">
      <c r="B10" s="42" t="s">
        <v>27</v>
      </c>
      <c r="C10" s="43">
        <f>8314.3/C9</f>
        <v>336.884116693679</v>
      </c>
      <c r="D10" s="44" t="s">
        <v>28</v>
      </c>
      <c r="E10" s="34" t="s">
        <v>29</v>
      </c>
      <c r="F10" s="45">
        <v>0</v>
      </c>
      <c r="G10" s="46" t="s">
        <v>30</v>
      </c>
      <c r="H10" s="47" t="s">
        <v>24</v>
      </c>
      <c r="I10" s="156">
        <f>I9/1.8</f>
        <v>3056</v>
      </c>
      <c r="J10" s="115" t="s">
        <v>31</v>
      </c>
      <c r="K10" s="157">
        <f>((0.026/$C$48^0.2)*(($I$18^0.2*$I$16)/($I$12^0.6))*((($C$13*10^6)/($C$24))^0.8)*(($C48/($C$48/2))^0.1))*(1^0.9)*J26</f>
        <v>13.5548970713338</v>
      </c>
      <c r="Q10" s="42" t="s">
        <v>32</v>
      </c>
      <c r="R10" s="64">
        <f>(R9/((ROUNDUP(F23,0)/2)^2))*-1</f>
        <v>-90</v>
      </c>
      <c r="S10" s="46"/>
      <c r="AC10" s="219">
        <v>1500</v>
      </c>
      <c r="AD10" s="220">
        <f t="shared" si="4"/>
        <v>26.0660406924582</v>
      </c>
      <c r="AE10" s="222">
        <f t="shared" si="5"/>
        <v>7.81504034370029</v>
      </c>
      <c r="IU10" t="str">
        <f>"H"&amp;(ROUNDUP($F$23,0)+52)</f>
        <v>H54</v>
      </c>
    </row>
    <row r="11" ht="16.8" spans="2:38">
      <c r="B11" s="34" t="s">
        <v>33</v>
      </c>
      <c r="C11" s="34">
        <v>3056</v>
      </c>
      <c r="D11" s="36" t="s">
        <v>34</v>
      </c>
      <c r="E11" s="38" t="s">
        <v>35</v>
      </c>
      <c r="F11" s="38">
        <v>0.383</v>
      </c>
      <c r="G11" s="46" t="s">
        <v>36</v>
      </c>
      <c r="H11" s="48" t="s">
        <v>37</v>
      </c>
      <c r="I11" s="158">
        <v>0.2951</v>
      </c>
      <c r="J11" s="115" t="s">
        <v>38</v>
      </c>
      <c r="L11">
        <f>L12/1000</f>
        <v>0.0031525</v>
      </c>
      <c r="M11" s="3" t="s">
        <v>39</v>
      </c>
      <c r="N11">
        <f>N12/1000</f>
        <v>46116.6014922721</v>
      </c>
      <c r="O11">
        <f>N15*144*60*60*3.1525/1000</f>
        <v>46116.6014922721</v>
      </c>
      <c r="Q11" s="42" t="s">
        <v>40</v>
      </c>
      <c r="R11" s="64">
        <f>ABS(R10)*ROUNDUP(F23,0)</f>
        <v>180</v>
      </c>
      <c r="S11" s="46"/>
      <c r="AC11" s="219">
        <v>1750</v>
      </c>
      <c r="AD11" s="220">
        <f t="shared" si="4"/>
        <v>36.3995278917658</v>
      </c>
      <c r="AE11" s="222">
        <f t="shared" si="5"/>
        <v>10.3334871993077</v>
      </c>
      <c r="AI11">
        <f>AH4/2</f>
        <v>0.442213824133951</v>
      </c>
      <c r="AJ11">
        <f>AJ4/2</f>
        <v>0.692213823878951</v>
      </c>
      <c r="AK11">
        <f>1+3/8</f>
        <v>1.375</v>
      </c>
      <c r="AL11">
        <f>(AL4+AM4)/2/2</f>
        <v>0.442213824133951</v>
      </c>
    </row>
    <row r="12" ht="16.8" spans="2:37">
      <c r="B12" s="38" t="s">
        <v>41</v>
      </c>
      <c r="C12" s="49">
        <v>300</v>
      </c>
      <c r="D12" s="3" t="s">
        <v>42</v>
      </c>
      <c r="E12" s="50" t="s">
        <v>43</v>
      </c>
      <c r="F12" s="51">
        <f>F18*(F11*9.8066)</f>
        <v>22.5355668</v>
      </c>
      <c r="G12" s="46" t="s">
        <v>44</v>
      </c>
      <c r="H12" s="52" t="s">
        <v>45</v>
      </c>
      <c r="I12" s="159">
        <f>((I16*1000)*I18)/I11</f>
        <v>0.438614648284132</v>
      </c>
      <c r="J12" s="115" t="s">
        <v>46</v>
      </c>
      <c r="K12" s="3">
        <f>$I$10*(1+$I$12^0.33*(($C$8-1)/2)*J25)/(1+(($C$8-1)/2)*J25)</f>
        <v>2972.48590584595</v>
      </c>
      <c r="L12">
        <f>L13*3.1525</f>
        <v>3.1525</v>
      </c>
      <c r="M12" s="3" t="s">
        <v>47</v>
      </c>
      <c r="N12">
        <f>N13*3.1525</f>
        <v>46116601.4922721</v>
      </c>
      <c r="AC12" s="219">
        <v>2000</v>
      </c>
      <c r="AD12" s="220">
        <f t="shared" si="4"/>
        <v>50.0630475925095</v>
      </c>
      <c r="AE12" s="222">
        <f t="shared" si="5"/>
        <v>13.6635197007437</v>
      </c>
      <c r="AI12">
        <f>CONVERT(AI11,"in","mm")</f>
        <v>11.2322311330024</v>
      </c>
      <c r="AK12">
        <f>AK11-AJ11</f>
        <v>0.682786176121049</v>
      </c>
    </row>
    <row r="13" ht="16.8" spans="2:256">
      <c r="B13" s="42" t="s">
        <v>48</v>
      </c>
      <c r="C13" s="43">
        <f t="shared" ref="C13:C17" si="7">C12*0.00689475729</f>
        <v>2.068427187</v>
      </c>
      <c r="D13" s="53" t="s">
        <v>49</v>
      </c>
      <c r="E13" s="54" t="s">
        <v>43</v>
      </c>
      <c r="F13" s="55">
        <f>0.22481*F12</f>
        <v>5.066220772308</v>
      </c>
      <c r="G13" s="46" t="s">
        <v>50</v>
      </c>
      <c r="H13" s="56" t="s">
        <v>51</v>
      </c>
      <c r="I13" s="160">
        <v>900</v>
      </c>
      <c r="J13" s="115" t="s">
        <v>31</v>
      </c>
      <c r="L13" s="3">
        <v>1</v>
      </c>
      <c r="M13" s="3" t="s">
        <v>52</v>
      </c>
      <c r="N13">
        <f>N14*60*60</f>
        <v>14628580.9650348</v>
      </c>
      <c r="AC13" s="219">
        <v>2250</v>
      </c>
      <c r="AD13" s="220">
        <f t="shared" si="4"/>
        <v>68.1297241182345</v>
      </c>
      <c r="AE13" s="222">
        <f t="shared" si="5"/>
        <v>18.0666765257249</v>
      </c>
      <c r="AG13" s="226">
        <f>AG8-AG8</f>
        <v>0</v>
      </c>
      <c r="IU13">
        <v>0.12</v>
      </c>
      <c r="IV13">
        <f>IU13/2</f>
        <v>0.06</v>
      </c>
    </row>
    <row r="14" ht="16.8" spans="2:37">
      <c r="B14" s="38" t="s">
        <v>53</v>
      </c>
      <c r="C14" s="49">
        <v>200</v>
      </c>
      <c r="D14" s="3" t="s">
        <v>42</v>
      </c>
      <c r="E14" s="57" t="s">
        <v>54</v>
      </c>
      <c r="F14" s="58">
        <v>1</v>
      </c>
      <c r="G14" s="46" t="s">
        <v>55</v>
      </c>
      <c r="H14" s="52" t="s">
        <v>51</v>
      </c>
      <c r="I14" s="161">
        <f>I13*1.8</f>
        <v>1620</v>
      </c>
      <c r="J14" s="115" t="s">
        <v>56</v>
      </c>
      <c r="K14" s="3">
        <f>144*60*60*3.1525</f>
        <v>1634256</v>
      </c>
      <c r="L14">
        <f>L13/(60*60)</f>
        <v>0.000277777777777778</v>
      </c>
      <c r="M14" s="3" t="s">
        <v>57</v>
      </c>
      <c r="N14">
        <f>N15*144</f>
        <v>4063.49471250966</v>
      </c>
      <c r="AC14" s="219">
        <v>2500</v>
      </c>
      <c r="AD14" s="220">
        <f t="shared" si="4"/>
        <v>92.018502985909</v>
      </c>
      <c r="AE14" s="222">
        <f t="shared" si="5"/>
        <v>23.8887788676745</v>
      </c>
      <c r="AG14" s="230">
        <f>AG8-AG6</f>
        <v>0.941430153976278</v>
      </c>
      <c r="AJ14">
        <f>AH4*0.5</f>
        <v>0.442213824133951</v>
      </c>
      <c r="AK14">
        <f>CONVERT(AJ14,"in","mm")</f>
        <v>11.2322311330024</v>
      </c>
    </row>
    <row r="15" ht="16.8" spans="2:33">
      <c r="B15" s="42" t="s">
        <v>53</v>
      </c>
      <c r="C15" s="43">
        <f t="shared" si="7"/>
        <v>1.378951458</v>
      </c>
      <c r="D15" s="53" t="s">
        <v>49</v>
      </c>
      <c r="E15" s="59" t="s">
        <v>58</v>
      </c>
      <c r="F15" s="60">
        <f>F18*(EXP(F9/C23)-1)</f>
        <v>0.0067078991811611</v>
      </c>
      <c r="G15" s="46" t="s">
        <v>55</v>
      </c>
      <c r="H15" s="56" t="s">
        <v>59</v>
      </c>
      <c r="I15" s="158">
        <v>1</v>
      </c>
      <c r="J15" s="115"/>
      <c r="K15" s="3"/>
      <c r="M15" s="3" t="s">
        <v>60</v>
      </c>
      <c r="N15" s="6">
        <f>J31</f>
        <v>28.2187132813171</v>
      </c>
      <c r="AC15" s="219">
        <v>2750</v>
      </c>
      <c r="AD15" s="220">
        <f t="shared" si="4"/>
        <v>123.605594002681</v>
      </c>
      <c r="AE15" s="222">
        <f t="shared" si="5"/>
        <v>31.587091016772</v>
      </c>
      <c r="AG15" s="226">
        <f>AG8-AG5</f>
        <v>1.03753706617075</v>
      </c>
    </row>
    <row r="16" ht="16.8" spans="2:33">
      <c r="B16" s="38" t="s">
        <v>61</v>
      </c>
      <c r="C16" s="49">
        <v>14.696</v>
      </c>
      <c r="D16" s="3" t="s">
        <v>42</v>
      </c>
      <c r="E16" s="38" t="s">
        <v>62</v>
      </c>
      <c r="F16" s="61">
        <v>5</v>
      </c>
      <c r="G16" s="46" t="s">
        <v>55</v>
      </c>
      <c r="H16" s="41" t="s">
        <v>63</v>
      </c>
      <c r="I16" s="162">
        <f>((C8*C10)/(C8-1))/1000</f>
        <v>1.63614186207366</v>
      </c>
      <c r="J16" s="115" t="s">
        <v>64</v>
      </c>
      <c r="L16">
        <f>L14/144</f>
        <v>1.92901234567901e-6</v>
      </c>
      <c r="O16" s="163"/>
      <c r="AC16" s="219">
        <v>3000</v>
      </c>
      <c r="AD16" s="220">
        <f t="shared" si="4"/>
        <v>165.371827615064</v>
      </c>
      <c r="AE16" s="222">
        <f t="shared" si="5"/>
        <v>41.7662336123826</v>
      </c>
      <c r="AG16" s="226">
        <f>AG8-AG4</f>
        <v>2.03753706515075</v>
      </c>
    </row>
    <row r="17" ht="16.8" spans="2:31">
      <c r="B17" s="42" t="s">
        <v>65</v>
      </c>
      <c r="C17" s="43">
        <f t="shared" si="7"/>
        <v>0.10132535313384</v>
      </c>
      <c r="D17" s="53" t="s">
        <v>49</v>
      </c>
      <c r="E17" s="42" t="s">
        <v>66</v>
      </c>
      <c r="F17" s="62">
        <f>F16+F15+F14</f>
        <v>6.00670789918116</v>
      </c>
      <c r="G17" s="46" t="s">
        <v>55</v>
      </c>
      <c r="H17" s="47" t="s">
        <v>63</v>
      </c>
      <c r="I17" s="164">
        <f>(C8*(1544/C9))/((C8-1)*778)</f>
        <v>0.390537700453604</v>
      </c>
      <c r="J17" s="115" t="s">
        <v>67</v>
      </c>
      <c r="K17">
        <f>((2085-1302)*6750)/1000</f>
        <v>5285.25</v>
      </c>
      <c r="M17" s="1"/>
      <c r="AC17" s="219">
        <v>3250</v>
      </c>
      <c r="AD17" s="220">
        <f t="shared" si="4"/>
        <v>220.597497786396</v>
      </c>
      <c r="AE17" s="222">
        <f t="shared" si="5"/>
        <v>55.2256701713326</v>
      </c>
    </row>
    <row r="18" ht="16.8" spans="2:31">
      <c r="B18" s="42" t="s">
        <v>68</v>
      </c>
      <c r="C18" s="63">
        <f>C15/C13</f>
        <v>0.666666666666667</v>
      </c>
      <c r="D18" s="46"/>
      <c r="E18" s="42" t="s">
        <v>69</v>
      </c>
      <c r="F18" s="62">
        <f>F16+F14</f>
        <v>6</v>
      </c>
      <c r="G18" s="46" t="s">
        <v>55</v>
      </c>
      <c r="H18" s="56" t="s">
        <v>70</v>
      </c>
      <c r="I18" s="165">
        <f>0.7911*10^-4</f>
        <v>7.911e-5</v>
      </c>
      <c r="J18" s="115" t="s">
        <v>71</v>
      </c>
      <c r="AC18" s="219">
        <v>3500</v>
      </c>
      <c r="AD18" s="220">
        <f t="shared" si="4"/>
        <v>293.619994240771</v>
      </c>
      <c r="AE18" s="222">
        <f t="shared" si="5"/>
        <v>73.0224964543752</v>
      </c>
    </row>
    <row r="19" ht="29.25" customHeight="1" spans="2:31">
      <c r="B19" s="42" t="s">
        <v>72</v>
      </c>
      <c r="C19" s="64">
        <f>C11/C13</f>
        <v>1477.451089024</v>
      </c>
      <c r="D19" s="36"/>
      <c r="E19" s="50" t="s">
        <v>73</v>
      </c>
      <c r="F19" s="65">
        <f>F18/F17</f>
        <v>0.998883265293777</v>
      </c>
      <c r="G19" s="46"/>
      <c r="H19" s="52" t="s">
        <v>70</v>
      </c>
      <c r="I19" s="166">
        <f>0.671949457*I18</f>
        <v>5.315792154327e-5</v>
      </c>
      <c r="J19" s="115" t="s">
        <v>74</v>
      </c>
      <c r="M19">
        <f>C61*1000</f>
        <v>12.7</v>
      </c>
      <c r="N19">
        <f>CONVERT(0.125,"in","mm")</f>
        <v>3.175</v>
      </c>
      <c r="O19">
        <f>CONVERT((O22+0.8)*0.5,"mm","in")</f>
        <v>0.207961856081072</v>
      </c>
      <c r="AC19" s="219">
        <v>3750</v>
      </c>
      <c r="AD19" s="220">
        <f t="shared" si="4"/>
        <v>390.174458349334</v>
      </c>
      <c r="AE19" s="222">
        <f t="shared" si="5"/>
        <v>96.5544641085625</v>
      </c>
    </row>
    <row r="20" ht="16.8" spans="2:31">
      <c r="B20" s="42" t="s">
        <v>75</v>
      </c>
      <c r="C20" s="66">
        <f>(2/(C8+1))^(C8/(C8-1))</f>
        <v>0.553194019422982</v>
      </c>
      <c r="D20" s="36"/>
      <c r="E20" s="50" t="s">
        <v>76</v>
      </c>
      <c r="F20" s="67">
        <f>F17/F18</f>
        <v>1.00111798319686</v>
      </c>
      <c r="H20" s="52" t="s">
        <v>77</v>
      </c>
      <c r="I20" s="167">
        <f>I14/I9</f>
        <v>0.294502617801047</v>
      </c>
      <c r="K20" s="3"/>
      <c r="L20">
        <f>(2575-1628)*5.898</f>
        <v>5585.406</v>
      </c>
      <c r="AC20" s="219">
        <v>4000</v>
      </c>
      <c r="AD20" s="220">
        <f t="shared" si="4"/>
        <v>517.844217559998</v>
      </c>
      <c r="AE20" s="222">
        <f t="shared" si="5"/>
        <v>127.669759210664</v>
      </c>
    </row>
    <row r="21" ht="16.8" spans="2:31">
      <c r="B21" s="42" t="s">
        <v>78</v>
      </c>
      <c r="C21" s="63">
        <f>C20*C13</f>
        <v>1.1442415494603</v>
      </c>
      <c r="D21" s="53" t="s">
        <v>49</v>
      </c>
      <c r="E21" s="50" t="s">
        <v>79</v>
      </c>
      <c r="F21" s="68">
        <f>F12/C23</f>
        <v>0.0251803120524845</v>
      </c>
      <c r="G21" s="3" t="s">
        <v>80</v>
      </c>
      <c r="H21" s="56" t="s">
        <v>81</v>
      </c>
      <c r="I21" s="158">
        <v>57.75</v>
      </c>
      <c r="J21" s="3" t="s">
        <v>82</v>
      </c>
      <c r="K21">
        <f>J29/1.8</f>
        <v>2972.48590584595</v>
      </c>
      <c r="M21" s="1" t="s">
        <v>83</v>
      </c>
      <c r="N21" s="1" t="s">
        <v>84</v>
      </c>
      <c r="O21" s="1" t="s">
        <v>85</v>
      </c>
      <c r="P21" s="1" t="s">
        <v>86</v>
      </c>
      <c r="AC21" s="219">
        <v>4250</v>
      </c>
      <c r="AD21" s="220">
        <f t="shared" si="4"/>
        <v>686.65637521003</v>
      </c>
      <c r="AE21" s="222">
        <f t="shared" si="5"/>
        <v>168.812157650032</v>
      </c>
    </row>
    <row r="22" ht="13.8" spans="2:31">
      <c r="B22" s="34" t="s">
        <v>87</v>
      </c>
      <c r="C22" s="69">
        <v>0</v>
      </c>
      <c r="D22" s="36"/>
      <c r="E22" s="70" t="s">
        <v>88</v>
      </c>
      <c r="F22" s="71">
        <f>F15/F17</f>
        <v>0.00111673470622328</v>
      </c>
      <c r="H22" s="72" t="s">
        <v>81</v>
      </c>
      <c r="I22" s="168">
        <f>I21*0.001925964/144</f>
        <v>0.0007723918125</v>
      </c>
      <c r="J22" s="3" t="s">
        <v>89</v>
      </c>
      <c r="K22">
        <f>(K21-I13)*J28</f>
        <v>28092.3331355318</v>
      </c>
      <c r="M22" s="169">
        <f>(C54)*1000+CONVERT(I23,"in","mm")</f>
        <v>4.96015956708853</v>
      </c>
      <c r="N22" s="169">
        <f>(C48)*1000+CONVERT(I23,"in","mm")</f>
        <v>4.88223114445923</v>
      </c>
      <c r="O22" s="169">
        <f>(C33)*1000+CONVERT(I23,"in","mm")</f>
        <v>9.76446228891847</v>
      </c>
      <c r="P22" s="169">
        <f>O22</f>
        <v>9.76446228891847</v>
      </c>
      <c r="Q22" s="1" t="s">
        <v>90</v>
      </c>
      <c r="AC22" s="219">
        <v>4500</v>
      </c>
      <c r="AD22" s="220">
        <f t="shared" si="4"/>
        <v>909.869332974259</v>
      </c>
      <c r="AE22" s="222">
        <f t="shared" si="5"/>
        <v>223.212957764228</v>
      </c>
    </row>
    <row r="23" ht="17.55" spans="2:31">
      <c r="B23" s="59" t="s">
        <v>91</v>
      </c>
      <c r="C23" s="67">
        <f>SQRT(((2*C8)/(C8-1))*C10*C11*(1-(C18)^((C8-1)/C8)))</f>
        <v>894.967733244451</v>
      </c>
      <c r="D23" s="46" t="s">
        <v>18</v>
      </c>
      <c r="E23" s="59" t="s">
        <v>92</v>
      </c>
      <c r="F23" s="51">
        <v>2</v>
      </c>
      <c r="G23" s="46" t="s">
        <v>93</v>
      </c>
      <c r="H23" s="73" t="s">
        <v>94</v>
      </c>
      <c r="I23" s="170">
        <v>0</v>
      </c>
      <c r="J23" s="115" t="s">
        <v>95</v>
      </c>
      <c r="L23" s="171"/>
      <c r="M23" s="7">
        <f t="shared" ref="M23:P23" si="8">M22*PI()</f>
        <v>15.5828008565984</v>
      </c>
      <c r="N23" s="7">
        <f t="shared" si="8"/>
        <v>15.3379814965604</v>
      </c>
      <c r="O23" s="7">
        <f t="shared" si="8"/>
        <v>30.6759629931208</v>
      </c>
      <c r="P23" s="7">
        <f t="shared" si="8"/>
        <v>30.6759629931208</v>
      </c>
      <c r="Q23" s="1" t="s">
        <v>96</v>
      </c>
      <c r="AC23" s="219">
        <v>4750</v>
      </c>
      <c r="AD23" s="220">
        <f t="shared" si="4"/>
        <v>1205.0140974713</v>
      </c>
      <c r="AE23" s="222">
        <f t="shared" si="5"/>
        <v>295.144764497037</v>
      </c>
    </row>
    <row r="24" ht="13.95" spans="2:31">
      <c r="B24" s="42" t="s">
        <v>97</v>
      </c>
      <c r="C24" s="43">
        <f>((C13*101970*9.80665)*C46)/F21</f>
        <v>1537.79618585151</v>
      </c>
      <c r="D24" s="3" t="s">
        <v>18</v>
      </c>
      <c r="E24" s="57" t="s">
        <v>98</v>
      </c>
      <c r="F24" s="58">
        <v>1.2</v>
      </c>
      <c r="H24" s="74"/>
      <c r="I24" s="172" t="s">
        <v>85</v>
      </c>
      <c r="J24" s="172" t="s">
        <v>84</v>
      </c>
      <c r="K24" s="173" t="s">
        <v>83</v>
      </c>
      <c r="L24" s="36"/>
      <c r="M24">
        <v>10</v>
      </c>
      <c r="N24">
        <f>M24</f>
        <v>10</v>
      </c>
      <c r="O24">
        <f>M24</f>
        <v>10</v>
      </c>
      <c r="P24">
        <f>N24</f>
        <v>10</v>
      </c>
      <c r="Q24" s="1" t="s">
        <v>99</v>
      </c>
      <c r="AC24" s="219">
        <v>5000</v>
      </c>
      <c r="AD24" s="220">
        <f t="shared" si="4"/>
        <v>1595.27115459977</v>
      </c>
      <c r="AE24" s="222">
        <f t="shared" si="5"/>
        <v>390.257057128478</v>
      </c>
    </row>
    <row r="25" ht="16.8" spans="2:40">
      <c r="B25" s="42" t="s">
        <v>100</v>
      </c>
      <c r="C25" s="43">
        <f>(SQRT(C8*C10*C11))/(C8*SQRT((2/(C8+1))^((C8+1)/(C8-1))))</f>
        <v>1537.82063643072</v>
      </c>
      <c r="D25" s="46" t="s">
        <v>18</v>
      </c>
      <c r="E25" s="75" t="s">
        <v>101</v>
      </c>
      <c r="F25" s="76">
        <f>F21/(F24+1)</f>
        <v>0.011445596387493</v>
      </c>
      <c r="G25" s="3" t="s">
        <v>80</v>
      </c>
      <c r="H25" s="77" t="s">
        <v>102</v>
      </c>
      <c r="I25" s="174">
        <v>0</v>
      </c>
      <c r="J25" s="174">
        <v>1</v>
      </c>
      <c r="K25" s="175">
        <f>C23/SQRT((C8)*C10*C11)</f>
        <v>0.786009172233918</v>
      </c>
      <c r="L25" s="171"/>
      <c r="M25">
        <f t="shared" ref="M25:P25" si="9">360/M24</f>
        <v>36</v>
      </c>
      <c r="N25">
        <f t="shared" si="9"/>
        <v>36</v>
      </c>
      <c r="O25">
        <f t="shared" si="9"/>
        <v>36</v>
      </c>
      <c r="P25">
        <f t="shared" si="9"/>
        <v>36</v>
      </c>
      <c r="Q25" s="1" t="s">
        <v>103</v>
      </c>
      <c r="AC25" s="219">
        <v>5250</v>
      </c>
      <c r="AD25" s="220">
        <f t="shared" si="4"/>
        <v>2111.29105045705</v>
      </c>
      <c r="AE25" s="222">
        <f t="shared" si="5"/>
        <v>516.019895857276</v>
      </c>
      <c r="AJ25" s="3"/>
      <c r="AM25" s="3"/>
      <c r="AN25">
        <f>(90/25)*-1</f>
        <v>-3.6</v>
      </c>
    </row>
    <row r="26" ht="26.4" spans="2:39">
      <c r="B26" s="78" t="s">
        <v>104</v>
      </c>
      <c r="C26" s="79">
        <f>C24/C25</f>
        <v>0.999984100499998</v>
      </c>
      <c r="E26" s="75" t="s">
        <v>105</v>
      </c>
      <c r="F26" s="76">
        <f>(F21*F24)/(F24+1)</f>
        <v>0.0137347156649916</v>
      </c>
      <c r="G26" s="3" t="s">
        <v>80</v>
      </c>
      <c r="H26" s="80" t="s">
        <v>106</v>
      </c>
      <c r="I26" s="176">
        <f>1/(((0.5*$I$20*(1+(($C$8-1)/2)*I25^2)+0.5)^0.68)*((1+(($C$8-1)/2)*I25^2)^0.12))</f>
        <v>1.34422015422133</v>
      </c>
      <c r="J26" s="176">
        <f>1/(((0.5*$I$20*(1+(($C$8-1)/2)*J25^2)+0.5)^0.68)*((1+(($C$8-1)/2)*J25^2)^0.12))</f>
        <v>1.29877231651843</v>
      </c>
      <c r="K26" s="162">
        <f>1/(((0.5*$I$20*(1+(($C$8-1)/2)*K25^2)+0.5)^0.68)*((1+(($C$8-1)/2)*K25^2)^0.12))</f>
        <v>1.3155944459862</v>
      </c>
      <c r="M26" s="7">
        <f t="shared" ref="M26:P26" si="10">M22*PI()*(M25/360)</f>
        <v>1.55828008565984</v>
      </c>
      <c r="N26" s="7">
        <f t="shared" si="10"/>
        <v>1.53379814965604</v>
      </c>
      <c r="O26" s="7">
        <f t="shared" si="10"/>
        <v>3.06759629931208</v>
      </c>
      <c r="P26" s="7">
        <f t="shared" si="10"/>
        <v>3.06759629931208</v>
      </c>
      <c r="Q26" s="1" t="s">
        <v>107</v>
      </c>
      <c r="AC26" s="219">
        <v>5500</v>
      </c>
      <c r="AD26" s="220">
        <f t="shared" si="4"/>
        <v>2793.6016661313</v>
      </c>
      <c r="AE26" s="222">
        <f t="shared" si="5"/>
        <v>682.310615674248</v>
      </c>
      <c r="AH26" t="s">
        <v>108</v>
      </c>
      <c r="AJ26" s="3"/>
      <c r="AM26" s="3"/>
    </row>
    <row r="27" ht="16.8" spans="2:39">
      <c r="B27" s="81" t="s">
        <v>109</v>
      </c>
      <c r="C27" s="60">
        <f>(((C8+1)/2)^(1/(C8-1)))*(C18^(1/C8))*(SQRT(((C8+1)/(C8-1))*(1-(C18^((C8-1)/C8)))))</f>
        <v>0.968825091241087</v>
      </c>
      <c r="D27" s="46"/>
      <c r="E27" s="82" t="s">
        <v>110</v>
      </c>
      <c r="F27" s="83">
        <v>800</v>
      </c>
      <c r="G27" s="3" t="s">
        <v>111</v>
      </c>
      <c r="H27" s="84" t="s">
        <v>112</v>
      </c>
      <c r="I27" s="177">
        <f>((0.026/$C$49^0.2)*(($I$19^0.2*$I$17)/($I$12^0.6))*((($C$12*32.174)/($C$24*3.28084))^0.8)*(($C49/($C$49/2))^0.1))*((1/$C$30)^0.9)*I26</f>
        <v>0.00224831161139892</v>
      </c>
      <c r="J27" s="177">
        <f>((0.026/$C$49^0.2)*(($I$19^0.2*$I$17)/($I$12^0.6))*((($C$12*32.174)/($C$24*3.28084))^0.8)*(($C49/($C$49/2))^0.1))*(1^0.9)*J26</f>
        <v>0.00756437613874434</v>
      </c>
      <c r="K27" s="178">
        <f>((0.026/$C$49^0.2)*(($I$19^0.2*$I$17)/($I$12^0.6))*((($C$12*32.174)/($C$24*3.28084))^0.8)*(($C49/($C$49/2))^0.1))*(C27^0.9)*K26</f>
        <v>0.00744702761820489</v>
      </c>
      <c r="L27" s="36" t="s">
        <v>113</v>
      </c>
      <c r="M27" s="7">
        <v>1</v>
      </c>
      <c r="N27" s="7">
        <f t="shared" ref="N27:P27" si="11">M27</f>
        <v>1</v>
      </c>
      <c r="O27" s="7">
        <f t="shared" si="11"/>
        <v>1</v>
      </c>
      <c r="P27" s="7">
        <f t="shared" si="11"/>
        <v>1</v>
      </c>
      <c r="Q27" s="1" t="s">
        <v>114</v>
      </c>
      <c r="AC27" s="219"/>
      <c r="AD27" s="220"/>
      <c r="AE27" s="222"/>
      <c r="AG27">
        <v>0</v>
      </c>
      <c r="AH27">
        <v>110</v>
      </c>
      <c r="AI27" t="s">
        <v>3</v>
      </c>
      <c r="AJ27" s="3"/>
      <c r="AM27" s="3"/>
    </row>
    <row r="28" ht="16.8" spans="2:39">
      <c r="B28" s="50" t="s">
        <v>115</v>
      </c>
      <c r="C28" s="60">
        <f>1/C27</f>
        <v>1.03217805674188</v>
      </c>
      <c r="D28" s="46"/>
      <c r="E28" s="82" t="s">
        <v>116</v>
      </c>
      <c r="F28" s="85">
        <f>(F38*6894.75729)/(F36*((8314.4621)/F50)*F52)</f>
        <v>18.9002563736679</v>
      </c>
      <c r="G28" s="3" t="s">
        <v>111</v>
      </c>
      <c r="H28" s="86" t="s">
        <v>112</v>
      </c>
      <c r="I28" s="55">
        <f>((0.026/$C$48^0.2)*(($I$18^0.2*$I$16)/($I$12^0.6))*((($C$13*10^6)/($C$24))^0.8)*(($C48/($C$48/2))^0.1))*((1/$C$30)^0.9)*I26</f>
        <v>4.02883620774784</v>
      </c>
      <c r="J28" s="55">
        <f>((0.026/$C$48^0.2)*(($I$18^0.2*$I$16)/($I$12^0.6))*((($C$13*10^6)/($C$24))^0.8)*(($C48/($C$48/2))^0.1))*(1^0.9)*J26</f>
        <v>13.5548970713338</v>
      </c>
      <c r="K28" s="55">
        <f>((0.026/$C$48^0.2)*(($I$18^0.2*$I$16)/($I$12^0.6))*((($C$13*10^6)/($C$24))^0.8)*(($C48/($C$48/2))^0.1))*(C27^0.9)*K26</f>
        <v>13.3446157357405</v>
      </c>
      <c r="L28" s="36" t="s">
        <v>117</v>
      </c>
      <c r="M28" s="115">
        <f>M24*9</f>
        <v>90</v>
      </c>
      <c r="N28" s="115">
        <f>N24*3</f>
        <v>30</v>
      </c>
      <c r="O28" s="115">
        <f>O24*14</f>
        <v>140</v>
      </c>
      <c r="P28" s="115">
        <f>P24*14</f>
        <v>140</v>
      </c>
      <c r="Q28" s="212" t="s">
        <v>118</v>
      </c>
      <c r="AC28" s="219"/>
      <c r="AD28" s="220"/>
      <c r="AE28" s="222"/>
      <c r="AG28">
        <v>2</v>
      </c>
      <c r="AH28">
        <v>109</v>
      </c>
      <c r="AJ28" s="3"/>
      <c r="AM28" s="3"/>
    </row>
    <row r="29" ht="16.8" spans="2:39">
      <c r="B29" s="42" t="s">
        <v>119</v>
      </c>
      <c r="C29" s="87">
        <f>SQRT(((2*C8^2)/(C8-1))*(2/(C8+1))^((C8+1)/(C8-1))*(1-(C18)^((C8-1)/C8)))+((C15-C17)/C13)*C28</f>
        <v>1.21952721004942</v>
      </c>
      <c r="D29" s="88"/>
      <c r="E29" s="50" t="s">
        <v>120</v>
      </c>
      <c r="F29" s="89">
        <f>F25/F27</f>
        <v>1.43069954843662e-5</v>
      </c>
      <c r="G29" s="46" t="s">
        <v>121</v>
      </c>
      <c r="H29" s="41" t="s">
        <v>122</v>
      </c>
      <c r="I29" s="112">
        <f>$I$9*(1+$I$12^0.33*(($C$8-1)/2)*I25)/(1+(($C$8-1)/2)*I25)</f>
        <v>5500.8</v>
      </c>
      <c r="J29" s="112">
        <f>$I$9*(1+$I$12^0.33*(($C$8-1)/2)*J25)/(1+(($C$8-1)/2)*J25)</f>
        <v>5350.47463052271</v>
      </c>
      <c r="K29" s="112">
        <f>$I$9*(1+$I$12^0.33*(($C$8-1)/2)*K25)/(1+(($C$8-1)/2)*K25)</f>
        <v>5379.66801554978</v>
      </c>
      <c r="L29" s="115" t="s">
        <v>56</v>
      </c>
      <c r="M29" s="179">
        <f t="shared" ref="M29:P29" si="12">M22*PI()*(360/M28/360)</f>
        <v>0.173142231739983</v>
      </c>
      <c r="N29" s="179">
        <f t="shared" si="12"/>
        <v>0.511266049885347</v>
      </c>
      <c r="O29" s="179">
        <f t="shared" si="12"/>
        <v>0.219114021379435</v>
      </c>
      <c r="P29" s="179">
        <f t="shared" si="12"/>
        <v>0.219114021379435</v>
      </c>
      <c r="Q29" s="212" t="s">
        <v>123</v>
      </c>
      <c r="AC29" s="219"/>
      <c r="AD29" s="220"/>
      <c r="AE29" s="222"/>
      <c r="AG29">
        <v>4</v>
      </c>
      <c r="AH29">
        <v>108</v>
      </c>
      <c r="AJ29" s="3"/>
      <c r="AM29" s="3"/>
    </row>
    <row r="30" ht="16.8" spans="2:39">
      <c r="B30" s="38" t="s">
        <v>124</v>
      </c>
      <c r="C30" s="90">
        <v>4</v>
      </c>
      <c r="E30" s="54" t="s">
        <v>120</v>
      </c>
      <c r="F30" s="91">
        <f>F29*264.172052*60</f>
        <v>0.226770501303585</v>
      </c>
      <c r="G30" s="46" t="s">
        <v>125</v>
      </c>
      <c r="H30" s="52" t="s">
        <v>122</v>
      </c>
      <c r="I30" s="180">
        <f>$I$10*(1+$I$12^0.33*(($C$8-1)/2)*I25)/(1+(($C$8-1)/2)*I25)</f>
        <v>3056</v>
      </c>
      <c r="J30" s="180">
        <f>$I$10*(1+$I$12^0.33*(($C$8-1)/2)*J25)/(1+(($C$8-1)/2)*J25)</f>
        <v>2972.48590584595</v>
      </c>
      <c r="K30" s="180">
        <f>$I$10*(1+$I$12^0.33*(($C$8-1)/2)*K25)/(1+(($C$8-1)/2)*K25)</f>
        <v>2988.70445308321</v>
      </c>
      <c r="L30" s="115" t="s">
        <v>31</v>
      </c>
      <c r="M30">
        <f t="shared" ref="M30:P30" si="13">M26/M29</f>
        <v>9</v>
      </c>
      <c r="N30">
        <f t="shared" si="13"/>
        <v>3</v>
      </c>
      <c r="O30">
        <f t="shared" si="13"/>
        <v>14</v>
      </c>
      <c r="P30">
        <f t="shared" si="13"/>
        <v>14</v>
      </c>
      <c r="Q30" s="1" t="s">
        <v>126</v>
      </c>
      <c r="AC30" s="219"/>
      <c r="AD30" s="220"/>
      <c r="AE30" s="222"/>
      <c r="AG30">
        <v>6</v>
      </c>
      <c r="AH30">
        <v>107</v>
      </c>
      <c r="AJ30" s="3"/>
      <c r="AM30" s="3"/>
    </row>
    <row r="31" ht="16.8" spans="2:39">
      <c r="B31" s="92" t="s">
        <v>127</v>
      </c>
      <c r="C31" s="93">
        <f>C46*C30</f>
        <v>7.48835709556467e-5</v>
      </c>
      <c r="D31" s="46" t="s">
        <v>128</v>
      </c>
      <c r="E31" s="50" t="s">
        <v>129</v>
      </c>
      <c r="F31" s="89">
        <f>F26/F28</f>
        <v>0.000726694675111759</v>
      </c>
      <c r="G31" s="46" t="s">
        <v>121</v>
      </c>
      <c r="H31" s="94" t="s">
        <v>130</v>
      </c>
      <c r="I31" s="181">
        <f>I27*($I$29-$I$14)</f>
        <v>8.72524770151692</v>
      </c>
      <c r="J31" s="181">
        <f>($J$29-$I$14)*J27</f>
        <v>28.2187132813171</v>
      </c>
      <c r="K31" s="182">
        <f>K27*($K$29-$I$14)</f>
        <v>27.9983515470808</v>
      </c>
      <c r="L31" s="36" t="s">
        <v>131</v>
      </c>
      <c r="N31" s="183">
        <f>N33/N32-1</f>
        <v>0.273239544735163</v>
      </c>
      <c r="AC31" s="219"/>
      <c r="AD31" s="220"/>
      <c r="AE31" s="222"/>
      <c r="AG31">
        <v>8</v>
      </c>
      <c r="AH31">
        <v>106</v>
      </c>
      <c r="AJ31" s="3"/>
      <c r="AM31" s="3"/>
    </row>
    <row r="32" ht="16.8" spans="2:39">
      <c r="B32" s="95" t="s">
        <v>127</v>
      </c>
      <c r="C32" s="96">
        <f>C31*39.3700787^2</f>
        <v>0.116069766884004</v>
      </c>
      <c r="D32" s="3" t="s">
        <v>132</v>
      </c>
      <c r="E32" s="54" t="s">
        <v>129</v>
      </c>
      <c r="F32" s="91">
        <f>F31*264.172052*60</f>
        <v>11.5183454101048</v>
      </c>
      <c r="G32" s="46" t="s">
        <v>125</v>
      </c>
      <c r="H32" s="86" t="s">
        <v>133</v>
      </c>
      <c r="I32" s="55">
        <f t="shared" ref="I32:K32" si="14">(I30-$I$13)*I28</f>
        <v>8686.17086390433</v>
      </c>
      <c r="J32" s="55">
        <f t="shared" si="14"/>
        <v>28092.3331355318</v>
      </c>
      <c r="K32" s="55">
        <f t="shared" si="14"/>
        <v>27872.9583119254</v>
      </c>
      <c r="L32" s="36" t="s">
        <v>134</v>
      </c>
      <c r="N32">
        <f>PI()*2^2</f>
        <v>12.5663706143592</v>
      </c>
      <c r="O32" t="s">
        <v>135</v>
      </c>
      <c r="AC32" s="219"/>
      <c r="AD32" s="220"/>
      <c r="AE32" s="222"/>
      <c r="AG32">
        <v>10</v>
      </c>
      <c r="AH32">
        <v>105</v>
      </c>
      <c r="AI32" t="s">
        <v>3</v>
      </c>
      <c r="AJ32" s="3"/>
      <c r="AM32" s="3"/>
    </row>
    <row r="33" ht="16.8" spans="2:39">
      <c r="B33" s="92" t="s">
        <v>136</v>
      </c>
      <c r="C33" s="93">
        <f>(SQRT(C31/PI()))*2</f>
        <v>0.00976446228891847</v>
      </c>
      <c r="D33" s="3" t="s">
        <v>137</v>
      </c>
      <c r="E33" s="97" t="s">
        <v>138</v>
      </c>
      <c r="F33" s="98"/>
      <c r="G33" s="3"/>
      <c r="H33" s="99" t="s">
        <v>139</v>
      </c>
      <c r="I33" s="67">
        <f t="shared" ref="I33:K33" si="15">$I$14-((I31*$I$23)/$I$22)</f>
        <v>1620</v>
      </c>
      <c r="J33" s="67">
        <f t="shared" si="15"/>
        <v>1620</v>
      </c>
      <c r="K33" s="184">
        <f t="shared" si="15"/>
        <v>1620</v>
      </c>
      <c r="L33" s="185" t="s">
        <v>56</v>
      </c>
      <c r="M33">
        <f>SQRT(N33)</f>
        <v>4</v>
      </c>
      <c r="N33">
        <f>4*4</f>
        <v>16</v>
      </c>
      <c r="O33" t="s">
        <v>140</v>
      </c>
      <c r="P33">
        <f>0.00003</f>
        <v>3e-5</v>
      </c>
      <c r="Q33">
        <f>CONVERT(P33,"m","in")</f>
        <v>0.00118110236220472</v>
      </c>
      <c r="AC33" s="219"/>
      <c r="AD33" s="220"/>
      <c r="AE33" s="222"/>
      <c r="AG33">
        <v>12</v>
      </c>
      <c r="AH33">
        <v>104</v>
      </c>
      <c r="AJ33" s="3"/>
      <c r="AM33" s="3"/>
    </row>
    <row r="34" ht="16.8" spans="2:39">
      <c r="B34" s="95" t="s">
        <v>136</v>
      </c>
      <c r="C34" s="96">
        <f t="shared" ref="C34:C39" si="16">C33*39.3700787</f>
        <v>0.384427648777902</v>
      </c>
      <c r="D34" s="3" t="s">
        <v>141</v>
      </c>
      <c r="E34" s="97" t="s">
        <v>142</v>
      </c>
      <c r="F34" s="98">
        <v>1.41</v>
      </c>
      <c r="G34" s="3"/>
      <c r="H34" s="100" t="s">
        <v>139</v>
      </c>
      <c r="I34" s="186">
        <f t="shared" ref="I34:K34" si="17">$I$13-((I32*CONVERT($I$23,"in","mm"))/$I$21)</f>
        <v>900</v>
      </c>
      <c r="J34" s="186">
        <f t="shared" si="17"/>
        <v>900</v>
      </c>
      <c r="K34" s="186">
        <f t="shared" si="17"/>
        <v>900</v>
      </c>
      <c r="L34" s="185" t="s">
        <v>31</v>
      </c>
      <c r="M34" s="12">
        <f>C54</f>
        <v>0.00496015956708853</v>
      </c>
      <c r="N34" s="46" t="s">
        <v>143</v>
      </c>
      <c r="AC34" s="219"/>
      <c r="AD34" s="220"/>
      <c r="AE34" s="222"/>
      <c r="AG34">
        <v>14</v>
      </c>
      <c r="AH34">
        <v>103</v>
      </c>
      <c r="AJ34" s="3"/>
      <c r="AM34" s="3"/>
    </row>
    <row r="35" ht="16.8" spans="2:39">
      <c r="B35" s="57" t="s">
        <v>144</v>
      </c>
      <c r="C35" s="101">
        <f>CONVERT(1,"in","m")</f>
        <v>0.0254</v>
      </c>
      <c r="D35" s="3" t="s">
        <v>137</v>
      </c>
      <c r="E35" s="102" t="s">
        <v>145</v>
      </c>
      <c r="F35" s="103"/>
      <c r="G35" s="104"/>
      <c r="H35" s="105" t="s">
        <v>146</v>
      </c>
      <c r="I35" s="187">
        <f t="shared" ref="I35:K35" si="18">I31/(I33-$I$40)</f>
        <v>0.00781832231318721</v>
      </c>
      <c r="J35" s="187">
        <f t="shared" si="18"/>
        <v>0.0252855853775243</v>
      </c>
      <c r="K35" s="188">
        <f t="shared" si="18"/>
        <v>0.0250881286264164</v>
      </c>
      <c r="L35" s="3" t="s">
        <v>113</v>
      </c>
      <c r="M35" s="189">
        <f>M34*PI()</f>
        <v>0.0155828008565984</v>
      </c>
      <c r="N35" s="115" t="s">
        <v>147</v>
      </c>
      <c r="AC35" s="219"/>
      <c r="AD35" s="220"/>
      <c r="AE35" s="222"/>
      <c r="AG35">
        <v>16</v>
      </c>
      <c r="AH35">
        <v>102</v>
      </c>
      <c r="AJ35" s="3"/>
      <c r="AM35" s="3"/>
    </row>
    <row r="36" ht="16.8" spans="2:39">
      <c r="B36" s="95" t="s">
        <v>148</v>
      </c>
      <c r="C36" s="96">
        <f t="shared" si="16"/>
        <v>0.99999999898</v>
      </c>
      <c r="D36" s="3" t="s">
        <v>141</v>
      </c>
      <c r="E36" s="102" t="s">
        <v>149</v>
      </c>
      <c r="F36" s="103">
        <v>0.975</v>
      </c>
      <c r="G36" s="3"/>
      <c r="H36" s="100" t="s">
        <v>146</v>
      </c>
      <c r="I36" s="55">
        <f t="shared" ref="I36:K36" si="19">I32/(I34-$I$40/1.8)</f>
        <v>14.0099530062973</v>
      </c>
      <c r="J36" s="55">
        <f t="shared" si="19"/>
        <v>45.3102147347287</v>
      </c>
      <c r="K36" s="55">
        <f t="shared" si="19"/>
        <v>44.9563843740732</v>
      </c>
      <c r="L36" s="36" t="s">
        <v>117</v>
      </c>
      <c r="M36" s="190">
        <f>ROUND(I39,0)</f>
        <v>10</v>
      </c>
      <c r="N36" s="3" t="s">
        <v>150</v>
      </c>
      <c r="AC36" s="219"/>
      <c r="AD36" s="220"/>
      <c r="AE36" s="222"/>
      <c r="AG36">
        <v>18</v>
      </c>
      <c r="AH36">
        <v>101</v>
      </c>
      <c r="AJ36" s="3"/>
      <c r="AM36" s="3"/>
    </row>
    <row r="37" ht="16.8" spans="2:39">
      <c r="B37" s="34" t="s">
        <v>151</v>
      </c>
      <c r="C37" s="106">
        <v>45</v>
      </c>
      <c r="D37" s="46" t="s">
        <v>21</v>
      </c>
      <c r="E37" s="107" t="s">
        <v>152</v>
      </c>
      <c r="F37" s="90">
        <v>470</v>
      </c>
      <c r="G37" s="3" t="s">
        <v>42</v>
      </c>
      <c r="H37" s="80" t="s">
        <v>153</v>
      </c>
      <c r="I37" s="191">
        <f>PI()*C33*C35</f>
        <v>0.000779169460025269</v>
      </c>
      <c r="J37" s="192">
        <f>PI()*(C33/2+C48/2)*SQRT(((C33/2-C48/2)*COS(RADIANS(C37)))^2+((C33-C48)/2)^2)</f>
        <v>6.87849521095623e-5</v>
      </c>
      <c r="K37" s="193">
        <f>PI()*(C54/2+C48/2)*SQRT(((C54/2-C48/2)*COS(RADIANS(C56)))^2+((C54-C48)/2)^2)</f>
        <v>8.51924357231416e-7</v>
      </c>
      <c r="L37" s="194" t="s">
        <v>154</v>
      </c>
      <c r="M37" s="189">
        <f>M35/M36</f>
        <v>0.00155828008565984</v>
      </c>
      <c r="N37" s="115" t="s">
        <v>155</v>
      </c>
      <c r="AC37" s="219"/>
      <c r="AD37" s="220"/>
      <c r="AE37" s="222"/>
      <c r="AG37">
        <v>20</v>
      </c>
      <c r="AH37">
        <v>100</v>
      </c>
      <c r="AI37" t="s">
        <v>3</v>
      </c>
      <c r="AJ37" s="3"/>
      <c r="AM37" s="3"/>
    </row>
    <row r="38" ht="17.55" spans="2:39">
      <c r="B38" s="42" t="s">
        <v>156</v>
      </c>
      <c r="C38" s="108">
        <f>(C33/2-C48/2)/TAN(RADIANS(C37))</f>
        <v>0.00244111557222962</v>
      </c>
      <c r="D38" s="3" t="s">
        <v>137</v>
      </c>
      <c r="E38" s="107" t="s">
        <v>157</v>
      </c>
      <c r="F38" s="90">
        <v>200</v>
      </c>
      <c r="G38" s="3" t="s">
        <v>42</v>
      </c>
      <c r="H38" s="109" t="s">
        <v>153</v>
      </c>
      <c r="I38" s="195">
        <f>PI()*C34*C36</f>
        <v>1.20771507600559</v>
      </c>
      <c r="J38" s="195">
        <f>PI()*(C34/2+C49/2)*SQRT(((C34/2-C49/2)*COS(RADIANS(C37)))^2+((C34-C49)/2)^2)</f>
        <v>0.106616888786101</v>
      </c>
      <c r="K38" s="196">
        <f>PI()*(C55/2+C49/2)*SQRT(((C55/2-C49/2)*COS(RADIANS(C56)))^2+((C55-C49)/2)^2)</f>
        <v>0.00132048539198569</v>
      </c>
      <c r="L38" s="194" t="s">
        <v>158</v>
      </c>
      <c r="M38">
        <v>7.9</v>
      </c>
      <c r="N38" s="3" t="s">
        <v>159</v>
      </c>
      <c r="AC38" s="219"/>
      <c r="AD38" s="220"/>
      <c r="AE38" s="222"/>
      <c r="AG38" t="s">
        <v>160</v>
      </c>
      <c r="AH38" t="s">
        <v>108</v>
      </c>
      <c r="AJ38" s="3"/>
      <c r="AM38" s="3"/>
    </row>
    <row r="39" ht="16.8" spans="2:39">
      <c r="B39" s="110" t="s">
        <v>161</v>
      </c>
      <c r="C39" s="111">
        <f t="shared" si="16"/>
        <v>0.0961069121944755</v>
      </c>
      <c r="D39" s="3" t="s">
        <v>141</v>
      </c>
      <c r="E39" s="42" t="s">
        <v>162</v>
      </c>
      <c r="F39" s="112">
        <f>F37-C12</f>
        <v>170</v>
      </c>
      <c r="G39" s="3" t="s">
        <v>42</v>
      </c>
      <c r="H39" s="113" t="s">
        <v>163</v>
      </c>
      <c r="I39" s="197">
        <v>10</v>
      </c>
      <c r="J39" s="115"/>
      <c r="M39" s="115">
        <f>M38*PI()</f>
        <v>24.8185819633594</v>
      </c>
      <c r="N39" s="115" t="s">
        <v>164</v>
      </c>
      <c r="AC39" s="219"/>
      <c r="AD39" s="220"/>
      <c r="AE39" s="222"/>
      <c r="AG39">
        <v>2</v>
      </c>
      <c r="AH39">
        <v>1</v>
      </c>
      <c r="AJ39" s="3"/>
      <c r="AM39" s="3"/>
    </row>
    <row r="40" ht="16.8" spans="2:39">
      <c r="B40" s="42" t="s">
        <v>165</v>
      </c>
      <c r="C40" s="108">
        <f>C38/COS(RADIANS(C37))</f>
        <v>0.00345225874956728</v>
      </c>
      <c r="D40" s="3" t="s">
        <v>137</v>
      </c>
      <c r="E40" s="42" t="s">
        <v>166</v>
      </c>
      <c r="F40" s="112">
        <f>F38-C12</f>
        <v>-100</v>
      </c>
      <c r="G40" s="3" t="s">
        <v>42</v>
      </c>
      <c r="H40" s="56" t="s">
        <v>167</v>
      </c>
      <c r="I40" s="158">
        <f>280*1.8</f>
        <v>504</v>
      </c>
      <c r="J40" s="115" t="s">
        <v>56</v>
      </c>
      <c r="M40" s="190">
        <f>M39/2-M37</f>
        <v>12.407732701594</v>
      </c>
      <c r="N40" s="3" t="s">
        <v>168</v>
      </c>
      <c r="AC40" s="219"/>
      <c r="AD40" s="220"/>
      <c r="AE40" s="222"/>
      <c r="AG40">
        <v>4</v>
      </c>
      <c r="AH40">
        <v>2</v>
      </c>
      <c r="AJ40" s="3"/>
      <c r="AM40" s="3"/>
    </row>
    <row r="41" ht="16.8" spans="2:39">
      <c r="B41" s="110" t="s">
        <v>165</v>
      </c>
      <c r="C41" s="111">
        <f>C40*39.3700787</f>
        <v>0.135915698663228</v>
      </c>
      <c r="D41" s="3" t="s">
        <v>141</v>
      </c>
      <c r="E41" s="95" t="s">
        <v>169</v>
      </c>
      <c r="F41" s="114" t="str">
        <f>IF(ISBLANK(F33)=FALSE,(2/(F33+1))^(F33/(F33-1)),"")</f>
        <v/>
      </c>
      <c r="G41" s="115" t="s">
        <v>170</v>
      </c>
      <c r="H41" s="56" t="s">
        <v>171</v>
      </c>
      <c r="I41" s="158">
        <f>514*1.8</f>
        <v>925.2</v>
      </c>
      <c r="J41" s="115" t="s">
        <v>56</v>
      </c>
      <c r="K41">
        <f>(C52/2-C48/2)+C57^2</f>
        <v>-0.00193305607184038</v>
      </c>
      <c r="M41" s="190">
        <f>M38-M40</f>
        <v>-4.50773270159404</v>
      </c>
      <c r="N41" s="115" t="s">
        <v>172</v>
      </c>
      <c r="AC41" s="219"/>
      <c r="AD41" s="220"/>
      <c r="AE41" s="222"/>
      <c r="AG41">
        <v>6</v>
      </c>
      <c r="AH41">
        <v>3</v>
      </c>
      <c r="AJ41" s="3"/>
      <c r="AM41" s="3"/>
    </row>
    <row r="42" ht="16.8" spans="2:39">
      <c r="B42" s="50" t="s">
        <v>173</v>
      </c>
      <c r="C42" s="116">
        <f>C31*C35+C31*C40*(1+SQRT(C46/C31)+C46/C31)</f>
        <v>2.35444826257675e-6</v>
      </c>
      <c r="D42" s="3" t="s">
        <v>174</v>
      </c>
      <c r="E42" s="95" t="s">
        <v>175</v>
      </c>
      <c r="F42" s="114">
        <f>IF(ISBLANK(F34)=FALSE,(2/(F34+1))^(F34/(F34-1)),"")</f>
        <v>0.526603292799095</v>
      </c>
      <c r="G42" s="115" t="s">
        <v>170</v>
      </c>
      <c r="H42" s="72" t="s">
        <v>176</v>
      </c>
      <c r="I42" s="168">
        <f>0.0624279606*F27</f>
        <v>49.94236848</v>
      </c>
      <c r="J42" s="115" t="s">
        <v>177</v>
      </c>
      <c r="M42">
        <f>6435/J32</f>
        <v>0.229066057594941</v>
      </c>
      <c r="P42">
        <f>2*0.0254</f>
        <v>0.0508</v>
      </c>
      <c r="AC42" s="219"/>
      <c r="AD42" s="220"/>
      <c r="AE42" s="222"/>
      <c r="AG42">
        <v>8</v>
      </c>
      <c r="AH42">
        <v>4</v>
      </c>
      <c r="AJ42" s="3"/>
      <c r="AM42" s="3"/>
    </row>
    <row r="43" ht="16.8" spans="2:39">
      <c r="B43" s="54" t="s">
        <v>173</v>
      </c>
      <c r="C43" s="117">
        <f>C42*39.3700787^3</f>
        <v>0.143677247820119</v>
      </c>
      <c r="D43" s="3" t="s">
        <v>178</v>
      </c>
      <c r="E43" s="118" t="s">
        <v>179</v>
      </c>
      <c r="F43" s="119" t="str">
        <f>IF(ISBLANK(F33)=FALSE,F41*F37,"")</f>
        <v/>
      </c>
      <c r="G43" s="3" t="s">
        <v>42</v>
      </c>
      <c r="H43" s="56" t="s">
        <v>180</v>
      </c>
      <c r="I43" s="158">
        <v>0.0214</v>
      </c>
      <c r="P43">
        <f>P42*48</f>
        <v>2.4384</v>
      </c>
      <c r="AC43" s="219"/>
      <c r="AD43" s="220"/>
      <c r="AE43" s="222"/>
      <c r="AG43">
        <v>10</v>
      </c>
      <c r="AH43">
        <v>5</v>
      </c>
      <c r="AI43" t="s">
        <v>3</v>
      </c>
      <c r="AJ43" s="3"/>
      <c r="AM43" s="3"/>
    </row>
    <row r="44" spans="2:39">
      <c r="B44" s="50" t="s">
        <v>181</v>
      </c>
      <c r="C44" s="60">
        <f>C42/C46</f>
        <v>0.125765811246971</v>
      </c>
      <c r="D44" s="3" t="s">
        <v>137</v>
      </c>
      <c r="E44" s="118" t="s">
        <v>182</v>
      </c>
      <c r="F44" s="119">
        <f>IF(ISBLANK(F34)=FALSE,F42*F38,"")</f>
        <v>105.320658559819</v>
      </c>
      <c r="G44" s="3" t="s">
        <v>42</v>
      </c>
      <c r="H44" s="56" t="s">
        <v>183</v>
      </c>
      <c r="I44" s="158">
        <v>4.15e-5</v>
      </c>
      <c r="J44" s="115" t="s">
        <v>184</v>
      </c>
      <c r="P44">
        <f>1*0.0254</f>
        <v>0.0254</v>
      </c>
      <c r="AC44" s="219"/>
      <c r="AD44" s="220"/>
      <c r="AE44" s="222"/>
      <c r="AG44">
        <v>12</v>
      </c>
      <c r="AH44">
        <v>6</v>
      </c>
      <c r="AJ44" s="3"/>
      <c r="AM44" s="3"/>
    </row>
    <row r="45" ht="16.8" spans="2:39">
      <c r="B45" s="50" t="s">
        <v>181</v>
      </c>
      <c r="C45" s="60">
        <f>C44*39.3700787</f>
        <v>4.95140988656259</v>
      </c>
      <c r="D45" s="3" t="s">
        <v>141</v>
      </c>
      <c r="E45" s="95" t="s">
        <v>185</v>
      </c>
      <c r="F45" s="114" t="str">
        <f>IF(ISBLANK(F33)=FALSE,IF(F41*F37&gt;$C$12,TRUE,FALSE),"")</f>
        <v/>
      </c>
      <c r="G45" s="115" t="s">
        <v>170</v>
      </c>
      <c r="H45" s="56" t="s">
        <v>186</v>
      </c>
      <c r="I45" s="158">
        <f>0.00000415</f>
        <v>4.15e-6</v>
      </c>
      <c r="J45" s="115" t="s">
        <v>184</v>
      </c>
      <c r="N45" s="1">
        <f>0.8+0.8</f>
        <v>1.6</v>
      </c>
      <c r="AC45" s="219"/>
      <c r="AD45" s="220"/>
      <c r="AE45" s="222"/>
      <c r="AG45">
        <v>14</v>
      </c>
      <c r="AH45">
        <v>7</v>
      </c>
      <c r="AJ45" s="3"/>
      <c r="AM45" s="3"/>
    </row>
    <row r="46" ht="16.8" spans="2:39">
      <c r="B46" s="92" t="s">
        <v>187</v>
      </c>
      <c r="C46" s="63">
        <f>(F21/(C13*10^6))*SQRT((C10*C11)/(C8*(2/(C8+1))^((C8+1)/(C8-1))))</f>
        <v>1.87208927389117e-5</v>
      </c>
      <c r="D46" s="46" t="s">
        <v>128</v>
      </c>
      <c r="E46" s="95" t="s">
        <v>188</v>
      </c>
      <c r="F46" s="114" t="b">
        <f>IF(ISBLANK(F34)=FALSE,IF(F42*F38&gt;$C$12,TRUE,FALSE),"")</f>
        <v>0</v>
      </c>
      <c r="G46" s="115" t="s">
        <v>170</v>
      </c>
      <c r="H46" s="56" t="s">
        <v>189</v>
      </c>
      <c r="I46" s="198">
        <f>2.409984</f>
        <v>2.409984</v>
      </c>
      <c r="J46" s="115" t="s">
        <v>190</v>
      </c>
      <c r="AC46" s="219"/>
      <c r="AD46" s="220"/>
      <c r="AE46" s="222"/>
      <c r="AG46">
        <v>16</v>
      </c>
      <c r="AH46">
        <v>8</v>
      </c>
      <c r="AJ46" s="3"/>
      <c r="AM46" s="3"/>
    </row>
    <row r="47" ht="16.8" spans="2:40">
      <c r="B47" s="95" t="s">
        <v>191</v>
      </c>
      <c r="C47" s="120">
        <f>C46*39.3700787^2</f>
        <v>0.0290174417210011</v>
      </c>
      <c r="D47" s="3" t="s">
        <v>132</v>
      </c>
      <c r="E47" s="121" t="s">
        <v>192</v>
      </c>
      <c r="F47" s="122">
        <v>0.65</v>
      </c>
      <c r="G47" s="123" t="s">
        <v>193</v>
      </c>
      <c r="H47" s="72" t="s">
        <v>189</v>
      </c>
      <c r="I47" s="168">
        <v>0.576</v>
      </c>
      <c r="J47" s="115" t="s">
        <v>194</v>
      </c>
      <c r="AC47" s="219"/>
      <c r="AD47" s="220"/>
      <c r="AE47" s="222"/>
      <c r="AG47">
        <v>18</v>
      </c>
      <c r="AH47">
        <v>9</v>
      </c>
      <c r="AJ47" s="3" t="s">
        <v>195</v>
      </c>
      <c r="AK47">
        <v>90</v>
      </c>
      <c r="AL47">
        <v>0</v>
      </c>
      <c r="AM47" s="3" t="s">
        <v>196</v>
      </c>
      <c r="AN47">
        <f>ABS(AN25)*AK25</f>
        <v>0</v>
      </c>
    </row>
    <row r="48" ht="16.8" spans="2:39">
      <c r="B48" s="92" t="s">
        <v>197</v>
      </c>
      <c r="C48" s="93">
        <f>(SQRT(C46/PI()))*2</f>
        <v>0.00488223114445923</v>
      </c>
      <c r="D48" s="3" t="s">
        <v>137</v>
      </c>
      <c r="E48" s="121" t="s">
        <v>198</v>
      </c>
      <c r="F48" s="122">
        <v>0.9</v>
      </c>
      <c r="G48" s="123" t="s">
        <v>193</v>
      </c>
      <c r="H48" s="56" t="s">
        <v>199</v>
      </c>
      <c r="I48" s="160">
        <f>0.000001371</f>
        <v>1.371e-6</v>
      </c>
      <c r="J48" s="115" t="s">
        <v>200</v>
      </c>
      <c r="N48">
        <f>4220*0.85</f>
        <v>3587</v>
      </c>
      <c r="O48">
        <f>(4220*0.85)/0.85^-0.8</f>
        <v>3149.68061285317</v>
      </c>
      <c r="P48">
        <f>4220*0.85*0.85^0.8</f>
        <v>3149.68061285317</v>
      </c>
      <c r="Q48">
        <f>4220*0.85^1.8</f>
        <v>3149.68061285317</v>
      </c>
      <c r="R48">
        <f>0.85^1.8</f>
        <v>0.746369813472316</v>
      </c>
      <c r="S48">
        <f>0.85</f>
        <v>0.85</v>
      </c>
      <c r="AC48" s="219">
        <v>5750</v>
      </c>
      <c r="AD48" s="220">
        <f>$F$18*(EXP(AC48/$C$23)-1)</f>
        <v>3695.79125222923</v>
      </c>
      <c r="AE48" s="222">
        <f>AD48-AD26</f>
        <v>902.189586097933</v>
      </c>
      <c r="AG48">
        <v>20</v>
      </c>
      <c r="AH48">
        <v>10</v>
      </c>
      <c r="AJ48" s="3"/>
      <c r="AM48" s="3"/>
    </row>
    <row r="49" ht="16.8" spans="2:39">
      <c r="B49" s="95" t="s">
        <v>201</v>
      </c>
      <c r="C49" s="120">
        <f>C48*39.3700787</f>
        <v>0.192213824388951</v>
      </c>
      <c r="D49" s="3" t="s">
        <v>141</v>
      </c>
      <c r="E49" s="102" t="s">
        <v>202</v>
      </c>
      <c r="F49" s="124"/>
      <c r="G49" s="3" t="s">
        <v>203</v>
      </c>
      <c r="H49" s="125" t="s">
        <v>204</v>
      </c>
      <c r="I49" s="199">
        <v>0</v>
      </c>
      <c r="J49" s="115" t="s">
        <v>95</v>
      </c>
      <c r="K49" s="200"/>
      <c r="L49">
        <f>0.89*0.89</f>
        <v>0.7921</v>
      </c>
      <c r="N49">
        <f>115000*94.5^-0.8*0.85^-0.8</f>
        <v>3442.0506203943</v>
      </c>
      <c r="O49">
        <f t="shared" ref="O49:Q49" si="20">115000*94.5^-0.8</f>
        <v>3022.40315235996</v>
      </c>
      <c r="P49">
        <f t="shared" si="20"/>
        <v>3022.40315235996</v>
      </c>
      <c r="Q49">
        <f t="shared" si="20"/>
        <v>3022.40315235996</v>
      </c>
      <c r="R49">
        <f>115000*94.5^-0.8*(1/4220)</f>
        <v>0.716209277810417</v>
      </c>
      <c r="S49" s="206">
        <f>(115000*94.5^-0.8*(1/4220))^(1/1.8)</f>
        <v>0.8307428933615</v>
      </c>
      <c r="AC49" s="219"/>
      <c r="AD49" s="220"/>
      <c r="AE49" s="222"/>
      <c r="AJ49" s="3"/>
      <c r="AM49" s="3"/>
    </row>
    <row r="50" ht="16.8" spans="2:39">
      <c r="B50" s="57" t="s">
        <v>205</v>
      </c>
      <c r="C50" s="101">
        <f>CONVERT((1/16),"in","m")</f>
        <v>0.0015875</v>
      </c>
      <c r="D50" s="3" t="s">
        <v>137</v>
      </c>
      <c r="E50" s="126" t="s">
        <v>206</v>
      </c>
      <c r="F50" s="127">
        <v>32</v>
      </c>
      <c r="G50" s="3" t="s">
        <v>203</v>
      </c>
      <c r="H50" s="128" t="s">
        <v>204</v>
      </c>
      <c r="I50" s="201">
        <f>CONVERT(I49,"in","mm")</f>
        <v>0</v>
      </c>
      <c r="J50" s="115" t="s">
        <v>207</v>
      </c>
      <c r="L50" s="46"/>
      <c r="O50" s="1"/>
      <c r="AC50" s="219"/>
      <c r="AD50" s="220"/>
      <c r="AE50" s="222"/>
      <c r="AJ50" s="3"/>
      <c r="AM50" s="3"/>
    </row>
    <row r="51" ht="16.8" spans="2:39">
      <c r="B51" s="95" t="s">
        <v>205</v>
      </c>
      <c r="C51" s="129">
        <f>C50*39.3700787</f>
        <v>0.06249999993625</v>
      </c>
      <c r="D51" s="3" t="s">
        <v>141</v>
      </c>
      <c r="E51" s="102" t="s">
        <v>208</v>
      </c>
      <c r="F51" s="130"/>
      <c r="G51" s="3" t="s">
        <v>34</v>
      </c>
      <c r="H51" s="72" t="s">
        <v>209</v>
      </c>
      <c r="I51" s="202">
        <f>PI()*(I49/2)^2</f>
        <v>0</v>
      </c>
      <c r="J51" s="115" t="s">
        <v>158</v>
      </c>
      <c r="L51">
        <f>SQRT(0.8)</f>
        <v>0.894427190999916</v>
      </c>
      <c r="O51">
        <f>3^2*2^2</f>
        <v>36</v>
      </c>
      <c r="R51" s="3"/>
      <c r="AC51" s="219"/>
      <c r="AD51" s="220"/>
      <c r="AE51" s="222"/>
      <c r="AJ51" s="3"/>
      <c r="AM51" s="3"/>
    </row>
    <row r="52" ht="16.8" spans="2:39">
      <c r="B52" s="42" t="s">
        <v>210</v>
      </c>
      <c r="C52" s="93">
        <f>C28*C46</f>
        <v>1.9323294687723e-5</v>
      </c>
      <c r="D52" s="46" t="s">
        <v>128</v>
      </c>
      <c r="E52" s="126" t="s">
        <v>211</v>
      </c>
      <c r="F52" s="131">
        <v>288</v>
      </c>
      <c r="G52" s="3" t="s">
        <v>34</v>
      </c>
      <c r="H52" s="52" t="s">
        <v>209</v>
      </c>
      <c r="I52" s="203">
        <f>I51*645.16</f>
        <v>0</v>
      </c>
      <c r="J52" s="115" t="s">
        <v>212</v>
      </c>
      <c r="K52" s="204">
        <f>I52*I39*0.000001</f>
        <v>0</v>
      </c>
      <c r="L52">
        <f>SQRT(I52)</f>
        <v>0</v>
      </c>
      <c r="O52">
        <f>(3*2)^2</f>
        <v>36</v>
      </c>
      <c r="AC52" s="219"/>
      <c r="AD52" s="220"/>
      <c r="AE52" s="222"/>
      <c r="AJ52" s="3"/>
      <c r="AM52" s="3"/>
    </row>
    <row r="53" ht="16.8" spans="2:39">
      <c r="B53" s="110" t="s">
        <v>210</v>
      </c>
      <c r="C53" s="96">
        <f>C52*39.3700787^2</f>
        <v>0.0299511666072036</v>
      </c>
      <c r="D53" s="3" t="s">
        <v>132</v>
      </c>
      <c r="E53" s="75" t="s">
        <v>213</v>
      </c>
      <c r="F53" s="132">
        <f>IF(ISBLANK(F35),F25/(F47*SQRT(2*(F39*6894.75729)*F27)),IF(F45=FALSE,F25/(F47*(F37*6894.75729)*SQRT(((2*F49*9.80665)/(F35*8314.4621*F51))*(F33/(F33-1))*(((C12*6894.75729)/(F37*6894.75729))^(2/F33)-((C12*6894.75729)/(F37*6894.75729))^((F33+1)/F33)))),F25/(F47*SQRT(F33*F27*F37*6894.75729*(2/(F33+1))^((F33+1)/(F33-1))))))</f>
        <v>4.06612875965591e-7</v>
      </c>
      <c r="G53" s="133" t="s">
        <v>214</v>
      </c>
      <c r="H53" s="72" t="s">
        <v>215</v>
      </c>
      <c r="I53" s="168" t="e">
        <f>3.28084*I54</f>
        <v>#DIV/0!</v>
      </c>
      <c r="J53" s="115" t="s">
        <v>216</v>
      </c>
      <c r="K53" s="205"/>
      <c r="N53" s="206">
        <f>0.0214*(2106^0.8)*((1/(4.16*10^-5))^0.8)*(((0.5*4.16*10^-5)/(1.78*10^-6))^0.4)*(((4.16*10^-5)/(0.416*10^-5))^0.14)</f>
        <v>115070.270866057</v>
      </c>
      <c r="AC53" s="219"/>
      <c r="AD53" s="220"/>
      <c r="AE53" s="222"/>
      <c r="AJ53" s="3"/>
      <c r="AM53" s="3"/>
    </row>
    <row r="54" ht="16.8" spans="2:39">
      <c r="B54" s="92" t="s">
        <v>217</v>
      </c>
      <c r="C54" s="93">
        <f>(SQRT(C52/PI()))*2</f>
        <v>0.00496015956708853</v>
      </c>
      <c r="D54" s="3" t="s">
        <v>137</v>
      </c>
      <c r="E54" s="134" t="s">
        <v>213</v>
      </c>
      <c r="F54" s="135">
        <f>F53*39.3700787^2</f>
        <v>0.00063025121696339</v>
      </c>
      <c r="G54" s="133" t="s">
        <v>218</v>
      </c>
      <c r="H54" s="136" t="s">
        <v>215</v>
      </c>
      <c r="I54" s="207" t="e">
        <f>F29/(I51*I39*0.00064516)</f>
        <v>#DIV/0!</v>
      </c>
      <c r="J54" s="115" t="s">
        <v>18</v>
      </c>
      <c r="AC54" s="219"/>
      <c r="AD54" s="220"/>
      <c r="AE54" s="222"/>
      <c r="AJ54" s="3"/>
      <c r="AM54" s="3"/>
    </row>
    <row r="55" spans="2:39">
      <c r="B55" s="95" t="s">
        <v>217</v>
      </c>
      <c r="C55" s="96">
        <f t="shared" ref="C55:C60" si="21">C54*39.3700787</f>
        <v>0.195281872520833</v>
      </c>
      <c r="D55" s="3" t="s">
        <v>141</v>
      </c>
      <c r="E55" s="137" t="s">
        <v>219</v>
      </c>
      <c r="F55" s="138">
        <f>(SQRT(F53/PI()))*2</f>
        <v>0.000719524560441049</v>
      </c>
      <c r="G55" s="133" t="s">
        <v>220</v>
      </c>
      <c r="H55" s="99" t="s">
        <v>221</v>
      </c>
      <c r="I55" s="208">
        <f>(F25*2.205)*I47*(I41-I40)</f>
        <v>6.12290987279916</v>
      </c>
      <c r="J55" s="115" t="s">
        <v>222</v>
      </c>
      <c r="K55" s="3"/>
      <c r="M55" s="209"/>
      <c r="N55">
        <f>2^2</f>
        <v>4</v>
      </c>
      <c r="AC55" s="219"/>
      <c r="AD55" s="220"/>
      <c r="AE55" s="222"/>
      <c r="AJ55" s="3"/>
      <c r="AM55" s="3"/>
    </row>
    <row r="56" spans="2:39">
      <c r="B56" s="34" t="s">
        <v>223</v>
      </c>
      <c r="C56" s="106">
        <v>0.1</v>
      </c>
      <c r="D56" s="46" t="s">
        <v>21</v>
      </c>
      <c r="E56" s="139" t="s">
        <v>219</v>
      </c>
      <c r="F56" s="140">
        <f>F55*39.3700787</f>
        <v>0.028327738571147</v>
      </c>
      <c r="G56" s="133" t="s">
        <v>224</v>
      </c>
      <c r="H56" s="100" t="s">
        <v>221</v>
      </c>
      <c r="I56" s="210">
        <f>1.05505585*I55</f>
        <v>6.46001188031951</v>
      </c>
      <c r="J56" s="3" t="s">
        <v>225</v>
      </c>
      <c r="K56" s="3">
        <f>(F25)*I46*(514-280)</f>
        <v>6.45458677444991</v>
      </c>
      <c r="M56">
        <f>L56+I38*I31</f>
        <v>10.5376131910051</v>
      </c>
      <c r="N56">
        <f>4^2/2^2</f>
        <v>4</v>
      </c>
      <c r="AC56" s="219"/>
      <c r="AD56" s="220"/>
      <c r="AE56" s="222"/>
      <c r="AJ56" s="3"/>
      <c r="AM56" s="3"/>
    </row>
    <row r="57" ht="16.8" spans="2:40">
      <c r="B57" s="42" t="s">
        <v>226</v>
      </c>
      <c r="C57" s="43">
        <f>(C54/2-C48/2)/TAN(RADIANS(C56))</f>
        <v>0.022324825935388</v>
      </c>
      <c r="D57" s="3" t="s">
        <v>137</v>
      </c>
      <c r="E57" s="75" t="s">
        <v>227</v>
      </c>
      <c r="F57" s="132" t="e">
        <f>IF(ISBLANK(F36),F26/(F48*SQRT(2*(F40*6894.75729)*F28)),IF(F46=FALSE,F26/(F48*(F38*6894.75729)*SQRT(((2*F50*9.80665)/(F36*8314.4621*F52))*(F34/(F34-1))*(((C12*6894.75729)/(F38*6894.75729))^(2/F34)-((C12*6894.75729)/(F38*6894.75729))^((F34+1)/F34)))),F26/(F48*SQRT(F34*F28*F38*6894.75729*(2/(F34+1))^((F34+1)/(F34-1))))))</f>
        <v>#NUM!</v>
      </c>
      <c r="G57" s="133" t="s">
        <v>214</v>
      </c>
      <c r="H57" s="84" t="s">
        <v>228</v>
      </c>
      <c r="I57" s="208">
        <f>I38*I31+(J38+K38)*((J31+K31)/2*0.75)</f>
        <v>12.8130840765963</v>
      </c>
      <c r="J57" s="115" t="s">
        <v>222</v>
      </c>
      <c r="K57" s="3"/>
      <c r="AC57" s="219"/>
      <c r="AD57" s="220"/>
      <c r="AE57" s="222"/>
      <c r="AJ57" s="3" t="s">
        <v>229</v>
      </c>
      <c r="AK57">
        <v>0</v>
      </c>
      <c r="AL57">
        <v>0</v>
      </c>
      <c r="AM57" s="3" t="s">
        <v>230</v>
      </c>
      <c r="AN57">
        <v>0</v>
      </c>
    </row>
    <row r="58" ht="16.8" spans="2:39">
      <c r="B58" s="110" t="s">
        <v>226</v>
      </c>
      <c r="C58" s="141">
        <f t="shared" si="21"/>
        <v>0.878930154040028</v>
      </c>
      <c r="D58" s="46" t="s">
        <v>141</v>
      </c>
      <c r="E58" s="134" t="s">
        <v>227</v>
      </c>
      <c r="F58" s="135" t="e">
        <f>F57*39.3700787^2</f>
        <v>#NUM!</v>
      </c>
      <c r="G58" s="133" t="s">
        <v>218</v>
      </c>
      <c r="H58" s="86" t="s">
        <v>228</v>
      </c>
      <c r="I58" s="210">
        <f>I37*I32+(J37+K37)*((J32+K32)/2*0.75)</f>
        <v>8.22946709432357</v>
      </c>
      <c r="J58" s="3" t="s">
        <v>225</v>
      </c>
      <c r="L58" s="1"/>
      <c r="O58">
        <f>4220^-0.8</f>
        <v>0.00125820103827248</v>
      </c>
      <c r="P58">
        <f>115000^0.8</f>
        <v>11182.9986451586</v>
      </c>
      <c r="Q58">
        <f>P58/O58</f>
        <v>8888085.69138761</v>
      </c>
      <c r="AC58" s="219">
        <v>6000</v>
      </c>
      <c r="AD58" s="220">
        <f>$F$18*(EXP(AC58/$C$23)-1)</f>
        <v>4888.71721668785</v>
      </c>
      <c r="AE58" s="222">
        <f>AD58-AD48</f>
        <v>1192.92596445862</v>
      </c>
      <c r="AJ58" s="3"/>
      <c r="AM58" s="3"/>
    </row>
    <row r="59" ht="30" spans="2:39">
      <c r="B59" s="110" t="s">
        <v>231</v>
      </c>
      <c r="C59" s="141">
        <f>C57/COS(RADIANS(C56))</f>
        <v>0.0223248599380856</v>
      </c>
      <c r="D59" s="3" t="s">
        <v>137</v>
      </c>
      <c r="E59" s="137" t="s">
        <v>232</v>
      </c>
      <c r="F59" s="138" t="e">
        <f>(SQRT(F57/PI()))*2</f>
        <v>#NUM!</v>
      </c>
      <c r="G59" s="133" t="s">
        <v>220</v>
      </c>
      <c r="H59" s="142" t="s">
        <v>233</v>
      </c>
      <c r="I59" s="168">
        <f>I57/(F25*2.205*I47)</f>
        <v>881.422579325851</v>
      </c>
      <c r="J59" s="115" t="s">
        <v>56</v>
      </c>
      <c r="L59" s="1"/>
      <c r="Q59">
        <f>O58/P58</f>
        <v>1.12510166387007e-7</v>
      </c>
      <c r="AC59" s="219"/>
      <c r="AD59" s="220"/>
      <c r="AE59" s="222"/>
      <c r="AJ59" s="3"/>
      <c r="AM59" s="3"/>
    </row>
    <row r="60" ht="30" spans="2:39">
      <c r="B60" s="42" t="s">
        <v>231</v>
      </c>
      <c r="C60" s="43">
        <f t="shared" si="21"/>
        <v>0.878931492728905</v>
      </c>
      <c r="D60" s="46" t="s">
        <v>141</v>
      </c>
      <c r="E60" s="139" t="s">
        <v>232</v>
      </c>
      <c r="F60" s="140" t="e">
        <f>F59*39.3700787</f>
        <v>#NUM!</v>
      </c>
      <c r="G60" s="133" t="s">
        <v>224</v>
      </c>
      <c r="H60" s="143" t="s">
        <v>233</v>
      </c>
      <c r="I60" s="159">
        <f>I59*(5/9)</f>
        <v>489.679210736584</v>
      </c>
      <c r="J60" s="115" t="s">
        <v>31</v>
      </c>
      <c r="K60">
        <v>0.6886</v>
      </c>
      <c r="L60" s="1"/>
      <c r="AC60" s="219"/>
      <c r="AD60" s="220"/>
      <c r="AE60" s="222"/>
      <c r="AJ60" s="3"/>
      <c r="AM60" s="3"/>
    </row>
    <row r="61" ht="16.8" spans="2:39">
      <c r="B61" s="57" t="s">
        <v>234</v>
      </c>
      <c r="C61" s="144">
        <f>CONVERT(0.5,"in","m")</f>
        <v>0.0127</v>
      </c>
      <c r="D61" s="46" t="s">
        <v>137</v>
      </c>
      <c r="E61" s="145">
        <f>C40*1000+1+I50+1</f>
        <v>5.45225874956728</v>
      </c>
      <c r="F61" s="146">
        <f>C40*1000</f>
        <v>3.45225874956728</v>
      </c>
      <c r="G61" s="33"/>
      <c r="H61" s="94" t="s">
        <v>235</v>
      </c>
      <c r="I61" s="178">
        <f>I59+I40</f>
        <v>1385.42257932585</v>
      </c>
      <c r="J61" s="115" t="s">
        <v>56</v>
      </c>
      <c r="K61">
        <v>0.3813</v>
      </c>
      <c r="AC61" s="219"/>
      <c r="AD61" s="220"/>
      <c r="AE61" s="222"/>
      <c r="AJ61" s="3"/>
      <c r="AM61" s="3"/>
    </row>
    <row r="62" ht="17.55" spans="2:39">
      <c r="B62" s="95" t="s">
        <v>234</v>
      </c>
      <c r="C62" s="120">
        <f>C61*39.3700787</f>
        <v>0.49999999949</v>
      </c>
      <c r="D62" s="3" t="s">
        <v>132</v>
      </c>
      <c r="E62" s="147">
        <f>C59*1000-2</f>
        <v>20.3248599380856</v>
      </c>
      <c r="F62" s="148">
        <f>18.474+50</f>
        <v>68.474</v>
      </c>
      <c r="G62" s="46"/>
      <c r="H62" s="149" t="s">
        <v>235</v>
      </c>
      <c r="I62" s="211">
        <f>I61*(5/9)</f>
        <v>769.679210736584</v>
      </c>
      <c r="J62" s="115" t="s">
        <v>31</v>
      </c>
      <c r="K62">
        <f>K60-K61</f>
        <v>0.3073</v>
      </c>
      <c r="AC62" s="219"/>
      <c r="AD62" s="220"/>
      <c r="AE62" s="222"/>
      <c r="AJ62" s="3"/>
      <c r="AM62" s="3"/>
    </row>
    <row r="63" spans="2:39">
      <c r="B63" s="150"/>
      <c r="C63" s="150"/>
      <c r="E63" s="151"/>
      <c r="F63" s="148"/>
      <c r="G63" s="46"/>
      <c r="L63" s="1"/>
      <c r="AC63" s="219"/>
      <c r="AD63" s="220"/>
      <c r="AE63" s="222"/>
      <c r="AJ63" s="3"/>
      <c r="AM63" s="3"/>
    </row>
    <row r="64" ht="13.95" spans="2:40">
      <c r="B64" s="46"/>
      <c r="C64" s="152"/>
      <c r="D64" s="152"/>
      <c r="E64" s="46"/>
      <c r="F64" s="146" t="e">
        <f>#REF!-2*(TAN(RADIANS(15)))</f>
        <v>#REF!</v>
      </c>
      <c r="G64" s="46">
        <f>80-13</f>
        <v>67</v>
      </c>
      <c r="X64" s="1"/>
      <c r="AC64" s="219"/>
      <c r="AD64" s="220"/>
      <c r="AE64" s="222"/>
      <c r="AJ64" s="3" t="s">
        <v>236</v>
      </c>
      <c r="AK64">
        <v>80</v>
      </c>
      <c r="AL64">
        <v>90</v>
      </c>
      <c r="AM64" s="3" t="s">
        <v>237</v>
      </c>
      <c r="AN64">
        <v>90</v>
      </c>
    </row>
    <row r="65" ht="16.8" spans="2:39">
      <c r="B65" s="233"/>
      <c r="C65" s="234"/>
      <c r="D65" s="234"/>
      <c r="E65" s="235" t="s">
        <v>238</v>
      </c>
      <c r="F65">
        <f>C54*1000/2+1-10*(TAN(RADIANS(15)))</f>
        <v>0.800587859233036</v>
      </c>
      <c r="G65">
        <f>C59*1000-2</f>
        <v>20.3248599380856</v>
      </c>
      <c r="AC65" s="219">
        <v>6250</v>
      </c>
      <c r="AD65" s="220">
        <f t="shared" ref="AD65:AD80" si="22">$F$18*(EXP(AC65/$C$23)-1)</f>
        <v>6466.07122144251</v>
      </c>
      <c r="AE65" s="222">
        <f>AD65-AD58</f>
        <v>1577.35400475466</v>
      </c>
      <c r="AJ65" s="1" t="s">
        <v>3</v>
      </c>
      <c r="AK65" s="1" t="s">
        <v>239</v>
      </c>
      <c r="AL65" s="1" t="s">
        <v>239</v>
      </c>
      <c r="AM65" s="1" t="s">
        <v>240</v>
      </c>
    </row>
    <row r="66" ht="13.95" spans="2:39">
      <c r="B66" s="236"/>
      <c r="C66" s="236"/>
      <c r="D66" s="236"/>
      <c r="E66" s="237">
        <f>F12/(F21*9.8066)</f>
        <v>91.2617760737107</v>
      </c>
      <c r="F66">
        <f>C54*1000/2+1+I50-10*(TAN(RADIANS(15)))</f>
        <v>0.800587859233036</v>
      </c>
      <c r="G66" t="e">
        <f>#REF!*0.5</f>
        <v>#REF!</v>
      </c>
      <c r="J66" s="3"/>
      <c r="AC66" s="219">
        <v>6500</v>
      </c>
      <c r="AD66" s="220">
        <f t="shared" si="22"/>
        <v>8551.73766717598</v>
      </c>
      <c r="AE66" s="222">
        <f t="shared" ref="AE66:AE80" si="23">AD66-AD65</f>
        <v>2085.66644573347</v>
      </c>
      <c r="AJ66">
        <v>0</v>
      </c>
      <c r="AK66" t="e">
        <f t="shared" ref="AK66:AK76" si="24">$AK$47-(($AK$47-$AK$57)/$AK$25*AJ66)</f>
        <v>#DIV/0!</v>
      </c>
      <c r="AL66">
        <v>0</v>
      </c>
      <c r="AM66">
        <f t="shared" ref="AM66:AM76" si="25">($AN$25*AJ66^2)+($AN$47*AJ66)+($AN$57)</f>
        <v>0</v>
      </c>
    </row>
    <row r="67" spans="2:39">
      <c r="B67" s="46"/>
      <c r="C67" s="238">
        <f>15/64</f>
        <v>0.234375</v>
      </c>
      <c r="D67" s="152" t="s">
        <v>241</v>
      </c>
      <c r="E67" s="3"/>
      <c r="J67" s="3"/>
      <c r="AC67" s="219">
        <v>6750</v>
      </c>
      <c r="AD67" s="220">
        <f t="shared" si="22"/>
        <v>11309.5234969555</v>
      </c>
      <c r="AE67" s="222">
        <f t="shared" si="23"/>
        <v>2757.78582977956</v>
      </c>
      <c r="AJ67">
        <v>1</v>
      </c>
      <c r="AK67" t="e">
        <f t="shared" si="24"/>
        <v>#DIV/0!</v>
      </c>
      <c r="AL67">
        <v>18</v>
      </c>
      <c r="AM67">
        <f t="shared" si="25"/>
        <v>-3.6</v>
      </c>
    </row>
    <row r="68" spans="2:39">
      <c r="B68" s="46"/>
      <c r="C68" s="239"/>
      <c r="D68" s="152"/>
      <c r="E68" s="152"/>
      <c r="J68" s="3"/>
      <c r="AC68" s="219">
        <v>7000</v>
      </c>
      <c r="AD68" s="220">
        <f t="shared" si="22"/>
        <v>14956.0234914733</v>
      </c>
      <c r="AE68" s="222">
        <f t="shared" si="23"/>
        <v>3646.49999451778</v>
      </c>
      <c r="AJ68">
        <v>2</v>
      </c>
      <c r="AK68" t="e">
        <f t="shared" si="24"/>
        <v>#DIV/0!</v>
      </c>
      <c r="AL68">
        <v>36</v>
      </c>
      <c r="AM68">
        <f t="shared" si="25"/>
        <v>-14.4</v>
      </c>
    </row>
    <row r="69" spans="2:39">
      <c r="B69" s="46"/>
      <c r="C69" s="239"/>
      <c r="D69" s="152"/>
      <c r="E69" s="152"/>
      <c r="AC69" s="219">
        <v>7250</v>
      </c>
      <c r="AD69" s="220">
        <f t="shared" si="22"/>
        <v>19777.6314881614</v>
      </c>
      <c r="AE69" s="222">
        <f t="shared" si="23"/>
        <v>4821.60799668805</v>
      </c>
      <c r="AJ69">
        <v>3</v>
      </c>
      <c r="AK69" t="e">
        <f t="shared" si="24"/>
        <v>#DIV/0!</v>
      </c>
      <c r="AL69">
        <v>54</v>
      </c>
      <c r="AM69">
        <f t="shared" si="25"/>
        <v>-32.4</v>
      </c>
    </row>
    <row r="70" spans="2:39">
      <c r="B70" s="240" t="s">
        <v>242</v>
      </c>
      <c r="C70" s="241">
        <f>(C32*C36)/C47</f>
        <v>3.99999999592</v>
      </c>
      <c r="D70" s="152"/>
      <c r="E70" s="152"/>
      <c r="I70" s="242"/>
      <c r="AC70" s="219">
        <v>7500</v>
      </c>
      <c r="AD70" s="220">
        <f t="shared" si="22"/>
        <v>26153.0335747313</v>
      </c>
      <c r="AE70" s="222">
        <f t="shared" si="23"/>
        <v>6375.40208656997</v>
      </c>
      <c r="AJ70">
        <v>4</v>
      </c>
      <c r="AK70" t="e">
        <f t="shared" si="24"/>
        <v>#DIV/0!</v>
      </c>
      <c r="AL70">
        <v>72</v>
      </c>
      <c r="AM70">
        <f t="shared" si="25"/>
        <v>-57.6</v>
      </c>
    </row>
    <row r="71" spans="2:39">
      <c r="B71" s="46"/>
      <c r="C71" s="239"/>
      <c r="D71" s="152"/>
      <c r="E71" s="152"/>
      <c r="I71" s="242"/>
      <c r="AC71" s="219">
        <v>7750</v>
      </c>
      <c r="AD71" s="220">
        <f t="shared" si="22"/>
        <v>34582.9498585438</v>
      </c>
      <c r="AE71" s="222">
        <f t="shared" si="23"/>
        <v>8429.91628381245</v>
      </c>
      <c r="AJ71">
        <v>5</v>
      </c>
      <c r="AK71" t="e">
        <f t="shared" si="24"/>
        <v>#DIV/0!</v>
      </c>
      <c r="AL71">
        <v>90</v>
      </c>
      <c r="AM71">
        <f t="shared" si="25"/>
        <v>-90</v>
      </c>
    </row>
    <row r="72" spans="2:39">
      <c r="B72" s="46"/>
      <c r="C72" s="239"/>
      <c r="D72" s="152"/>
      <c r="E72" s="152"/>
      <c r="I72" s="242"/>
      <c r="K72" s="243"/>
      <c r="AC72" s="219">
        <v>8000</v>
      </c>
      <c r="AD72" s="220">
        <f t="shared" si="22"/>
        <v>45729.4607118411</v>
      </c>
      <c r="AE72" s="222">
        <f t="shared" si="23"/>
        <v>11146.5108532973</v>
      </c>
      <c r="AJ72">
        <v>6</v>
      </c>
      <c r="AK72" t="e">
        <f t="shared" si="24"/>
        <v>#DIV/0!</v>
      </c>
      <c r="AL72">
        <v>72</v>
      </c>
      <c r="AM72">
        <f t="shared" si="25"/>
        <v>-129.6</v>
      </c>
    </row>
    <row r="73" spans="2:39">
      <c r="B73" s="46"/>
      <c r="C73" s="239"/>
      <c r="D73" s="152"/>
      <c r="E73" s="152"/>
      <c r="I73" s="242"/>
      <c r="AC73" s="219">
        <v>8250</v>
      </c>
      <c r="AD73" s="220">
        <f t="shared" si="22"/>
        <v>60468.0061516405</v>
      </c>
      <c r="AE73" s="222">
        <f t="shared" si="23"/>
        <v>14738.5454397994</v>
      </c>
      <c r="AJ73">
        <v>7</v>
      </c>
      <c r="AK73" t="e">
        <f t="shared" si="24"/>
        <v>#DIV/0!</v>
      </c>
      <c r="AL73">
        <v>54</v>
      </c>
      <c r="AM73">
        <f t="shared" si="25"/>
        <v>-176.4</v>
      </c>
    </row>
    <row r="74" spans="2:39">
      <c r="B74" s="46"/>
      <c r="C74" s="239"/>
      <c r="D74" s="152"/>
      <c r="E74" s="152"/>
      <c r="AC74" s="219">
        <v>8500</v>
      </c>
      <c r="AD74" s="220">
        <f t="shared" si="22"/>
        <v>79956.142353183</v>
      </c>
      <c r="AE74" s="222">
        <f t="shared" si="23"/>
        <v>19488.1362015425</v>
      </c>
      <c r="AJ74">
        <v>8</v>
      </c>
      <c r="AK74" t="e">
        <f t="shared" si="24"/>
        <v>#DIV/0!</v>
      </c>
      <c r="AL74">
        <v>36</v>
      </c>
      <c r="AM74">
        <f t="shared" si="25"/>
        <v>-230.4</v>
      </c>
    </row>
    <row r="75" spans="2:39">
      <c r="B75" s="46"/>
      <c r="C75" s="239"/>
      <c r="D75" s="152"/>
      <c r="E75" s="152"/>
      <c r="AC75" s="219">
        <v>8750</v>
      </c>
      <c r="AD75" s="220">
        <f t="shared" si="22"/>
        <v>105724.455390663</v>
      </c>
      <c r="AE75" s="222">
        <f t="shared" si="23"/>
        <v>25768.31303748</v>
      </c>
      <c r="AJ75">
        <v>9</v>
      </c>
      <c r="AK75" t="e">
        <f t="shared" si="24"/>
        <v>#DIV/0!</v>
      </c>
      <c r="AL75">
        <v>18</v>
      </c>
      <c r="AM75">
        <f t="shared" si="25"/>
        <v>-291.6</v>
      </c>
    </row>
    <row r="76" spans="2:39">
      <c r="B76" s="46"/>
      <c r="C76" s="239"/>
      <c r="D76" s="152"/>
      <c r="E76" s="152"/>
      <c r="M76">
        <v>0.689</v>
      </c>
      <c r="AC76" s="219">
        <v>9000</v>
      </c>
      <c r="AD76" s="220">
        <f t="shared" si="22"/>
        <v>139796.772513786</v>
      </c>
      <c r="AE76" s="222">
        <f t="shared" si="23"/>
        <v>34072.3171231225</v>
      </c>
      <c r="AJ76">
        <v>10</v>
      </c>
      <c r="AK76" t="e">
        <f t="shared" si="24"/>
        <v>#DIV/0!</v>
      </c>
      <c r="AL76">
        <v>0</v>
      </c>
      <c r="AM76">
        <f t="shared" si="25"/>
        <v>-360</v>
      </c>
    </row>
    <row r="77" spans="2:31">
      <c r="B77" s="46"/>
      <c r="C77" s="239"/>
      <c r="D77" s="152"/>
      <c r="E77" s="152"/>
      <c r="J77" s="3"/>
      <c r="M77">
        <v>0.3983</v>
      </c>
      <c r="AC77" s="219">
        <v>9250</v>
      </c>
      <c r="AD77" s="220">
        <f t="shared" si="22"/>
        <v>184849.11227891</v>
      </c>
      <c r="AE77" s="222">
        <f t="shared" si="23"/>
        <v>45052.3397651245</v>
      </c>
    </row>
    <row r="78" spans="2:31">
      <c r="B78" s="46"/>
      <c r="C78" s="239"/>
      <c r="D78" s="152"/>
      <c r="E78" s="152"/>
      <c r="M78">
        <f>M76-M77</f>
        <v>0.2907</v>
      </c>
      <c r="AC78" s="219">
        <v>9500</v>
      </c>
      <c r="AD78" s="220">
        <f t="shared" si="22"/>
        <v>244419.857379036</v>
      </c>
      <c r="AE78" s="222">
        <f t="shared" si="23"/>
        <v>59570.7451001262</v>
      </c>
    </row>
    <row r="79" spans="2:31">
      <c r="B79" s="46"/>
      <c r="C79" s="239"/>
      <c r="D79" s="152"/>
      <c r="E79" s="152"/>
      <c r="AC79" s="219">
        <v>9750</v>
      </c>
      <c r="AD79" s="220">
        <f t="shared" si="22"/>
        <v>323187.657015744</v>
      </c>
      <c r="AE79" s="222">
        <f t="shared" si="23"/>
        <v>78767.7996367081</v>
      </c>
    </row>
    <row r="80" ht="13.95" spans="2:31">
      <c r="B80" s="46"/>
      <c r="C80" s="239"/>
      <c r="D80" s="152"/>
      <c r="E80" s="152"/>
      <c r="M80">
        <v>3.211</v>
      </c>
      <c r="AC80" s="244">
        <v>10000</v>
      </c>
      <c r="AD80" s="245">
        <f t="shared" si="22"/>
        <v>427338.885092216</v>
      </c>
      <c r="AE80" s="246">
        <f t="shared" si="23"/>
        <v>104151.228076472</v>
      </c>
    </row>
    <row r="81" spans="2:13">
      <c r="B81" s="46"/>
      <c r="C81" s="239"/>
      <c r="D81" s="152"/>
      <c r="E81" s="152"/>
      <c r="J81" s="3"/>
      <c r="M81">
        <v>3.343</v>
      </c>
    </row>
    <row r="82" spans="2:13">
      <c r="B82" s="46"/>
      <c r="C82" s="239"/>
      <c r="D82" s="152"/>
      <c r="E82" s="152"/>
      <c r="M82">
        <f>M81-M80</f>
        <v>0.132</v>
      </c>
    </row>
    <row r="83" spans="2:5">
      <c r="B83" s="46"/>
      <c r="C83" s="239"/>
      <c r="D83" s="152"/>
      <c r="E83" s="152"/>
    </row>
    <row r="84" spans="2:5">
      <c r="B84" s="46"/>
      <c r="C84" s="239"/>
      <c r="D84" s="152"/>
      <c r="E84" s="152"/>
    </row>
    <row r="85" spans="2:5">
      <c r="B85" s="46"/>
      <c r="C85" s="239"/>
      <c r="D85" s="152"/>
      <c r="E85" s="152"/>
    </row>
    <row r="86" spans="2:5">
      <c r="B86" s="46"/>
      <c r="C86" s="239"/>
      <c r="D86" s="152"/>
      <c r="E86" s="152"/>
    </row>
    <row r="87" spans="2:5">
      <c r="B87" s="46"/>
      <c r="C87" s="239"/>
      <c r="D87" s="152"/>
      <c r="E87" s="152"/>
    </row>
    <row r="88" spans="2:5">
      <c r="B88" s="46"/>
      <c r="C88" s="239"/>
      <c r="D88" s="152"/>
      <c r="E88" s="152"/>
    </row>
    <row r="89" spans="2:5">
      <c r="B89" s="46"/>
      <c r="C89" s="239"/>
      <c r="D89" s="152"/>
      <c r="E89" s="152"/>
    </row>
    <row r="90" spans="2:5">
      <c r="B90" s="46"/>
      <c r="C90" s="239"/>
      <c r="D90" s="152"/>
      <c r="E90" s="152"/>
    </row>
    <row r="91" spans="2:5">
      <c r="B91" s="46"/>
      <c r="C91" s="239"/>
      <c r="D91" s="152"/>
      <c r="E91" s="152"/>
    </row>
    <row r="92" spans="2:5">
      <c r="B92" s="46"/>
      <c r="C92" s="239"/>
      <c r="D92" s="152"/>
      <c r="E92" s="152"/>
    </row>
  </sheetData>
  <mergeCells count="4">
    <mergeCell ref="C2:G2"/>
    <mergeCell ref="AG2:AJ2"/>
    <mergeCell ref="AC3:AE3"/>
    <mergeCell ref="B4:G6"/>
  </mergeCells>
  <hyperlinks>
    <hyperlink ref="B8" location="Glossary!A18" display="Fuel/Oxidizer Specific Heat Ratio (k) "/>
    <hyperlink ref="D13" location="Glossary!A3" display="Pascal (MPa)"/>
    <hyperlink ref="D15" location="Glossary!A3" display="Pascal (MPa)"/>
    <hyperlink ref="D21" location="Glossary!A3" display="Pascal (MPa)"/>
    <hyperlink ref="D17" location="Glossary!A3" display="Pascal (MPa)"/>
    <hyperlink ref="E33" location="Glossary!A18" display="**Gas Only** Fuel Specific Heat Ratio (k)"/>
    <hyperlink ref="E34" location="Glossary!A18" display="**Gas Only** Oxidizer Specific Heat Ratio (k)"/>
  </hyperlinks>
  <pageMargins left="0.699305555555556" right="0.699305555555556"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3:L92"/>
  <sheetViews>
    <sheetView topLeftCell="A8" workbookViewId="0">
      <selection activeCell="C29" sqref="C29"/>
    </sheetView>
  </sheetViews>
  <sheetFormatPr defaultColWidth="9" defaultRowHeight="13.2"/>
  <cols>
    <col min="2" max="2" width="55.287037037037" customWidth="1"/>
    <col min="3" max="3" width="13.4259259259259" customWidth="1"/>
    <col min="4" max="4" width="19.287037037037" customWidth="1"/>
    <col min="5" max="5" width="24.4259259259259" customWidth="1"/>
    <col min="6" max="6" width="35.4259259259259" customWidth="1"/>
    <col min="7" max="7" width="18" customWidth="1"/>
  </cols>
  <sheetData>
    <row r="3" spans="2:7">
      <c r="B3" s="1" t="s">
        <v>243</v>
      </c>
      <c r="E3" s="1" t="s">
        <v>244</v>
      </c>
      <c r="G3" s="2"/>
    </row>
    <row r="4" spans="2:11">
      <c r="B4" s="3" t="s">
        <v>245</v>
      </c>
      <c r="C4">
        <f>C25+C28</f>
        <v>3.75</v>
      </c>
      <c r="D4" s="3" t="s">
        <v>141</v>
      </c>
      <c r="E4">
        <f t="shared" ref="E4:E10" si="0">CONVERT(C4,"in","mm")</f>
        <v>95.25</v>
      </c>
      <c r="F4">
        <f t="shared" ref="F4:F10" si="1">E4/2</f>
        <v>47.625</v>
      </c>
      <c r="H4">
        <f>E4+1</f>
        <v>96.25</v>
      </c>
      <c r="I4">
        <f>H4/2</f>
        <v>48.125</v>
      </c>
      <c r="J4">
        <f>E4-$J$14</f>
        <v>57.15</v>
      </c>
      <c r="K4">
        <f>E4-$F$6</f>
        <v>90.4875</v>
      </c>
    </row>
    <row r="5" spans="2:10">
      <c r="B5" s="3" t="s">
        <v>246</v>
      </c>
      <c r="C5">
        <f>1+7/8</f>
        <v>1.875</v>
      </c>
      <c r="D5" s="3" t="s">
        <v>141</v>
      </c>
      <c r="E5">
        <f t="shared" si="0"/>
        <v>47.625</v>
      </c>
      <c r="F5">
        <f t="shared" si="1"/>
        <v>23.8125</v>
      </c>
      <c r="J5">
        <f>F5-0.25</f>
        <v>23.5625</v>
      </c>
    </row>
    <row r="6" spans="2:9">
      <c r="B6" s="3" t="s">
        <v>247</v>
      </c>
      <c r="C6">
        <f>3/8</f>
        <v>0.375</v>
      </c>
      <c r="D6" s="3" t="s">
        <v>141</v>
      </c>
      <c r="E6">
        <f t="shared" si="0"/>
        <v>9.525</v>
      </c>
      <c r="F6">
        <f t="shared" si="1"/>
        <v>4.7625</v>
      </c>
      <c r="H6">
        <f>E6+1</f>
        <v>10.525</v>
      </c>
      <c r="I6">
        <f>F6-0.5</f>
        <v>4.2625</v>
      </c>
    </row>
    <row r="7" spans="1:6">
      <c r="A7">
        <f t="shared" ref="A7:A9" si="2">C7/2</f>
        <v>0.557</v>
      </c>
      <c r="B7" s="3" t="s">
        <v>248</v>
      </c>
      <c r="C7">
        <v>1.114</v>
      </c>
      <c r="D7" s="3" t="s">
        <v>141</v>
      </c>
      <c r="E7">
        <f t="shared" si="0"/>
        <v>28.2956</v>
      </c>
      <c r="F7">
        <f t="shared" si="1"/>
        <v>14.1478</v>
      </c>
    </row>
    <row r="8" spans="1:7">
      <c r="A8">
        <f t="shared" si="2"/>
        <v>0.5627</v>
      </c>
      <c r="B8" s="3" t="s">
        <v>249</v>
      </c>
      <c r="C8">
        <v>1.1254</v>
      </c>
      <c r="D8" s="3" t="s">
        <v>141</v>
      </c>
      <c r="E8">
        <f t="shared" si="0"/>
        <v>28.58516</v>
      </c>
      <c r="F8">
        <f t="shared" si="1"/>
        <v>14.29258</v>
      </c>
      <c r="G8">
        <f>F8-F7</f>
        <v>0.144779999999999</v>
      </c>
    </row>
    <row r="9" spans="1:6">
      <c r="A9">
        <f t="shared" si="2"/>
        <v>0.75</v>
      </c>
      <c r="B9" s="3" t="s">
        <v>250</v>
      </c>
      <c r="C9">
        <f>1+1/2</f>
        <v>1.5</v>
      </c>
      <c r="D9" s="3" t="s">
        <v>141</v>
      </c>
      <c r="E9">
        <f t="shared" si="0"/>
        <v>38.1</v>
      </c>
      <c r="F9">
        <f t="shared" si="1"/>
        <v>19.05</v>
      </c>
    </row>
    <row r="10" spans="2:9">
      <c r="B10" s="3" t="s">
        <v>251</v>
      </c>
      <c r="C10">
        <f>7/32</f>
        <v>0.21875</v>
      </c>
      <c r="D10" s="3" t="s">
        <v>141</v>
      </c>
      <c r="E10">
        <f t="shared" si="0"/>
        <v>5.55625</v>
      </c>
      <c r="F10">
        <f t="shared" si="1"/>
        <v>2.778125</v>
      </c>
      <c r="H10">
        <f>F9+F10</f>
        <v>21.828125</v>
      </c>
      <c r="I10">
        <f>F9-F10</f>
        <v>16.271875</v>
      </c>
    </row>
    <row r="11" spans="2:3">
      <c r="B11" s="3" t="s">
        <v>252</v>
      </c>
      <c r="C11" s="3" t="s">
        <v>253</v>
      </c>
    </row>
    <row r="12" spans="2:6">
      <c r="B12" s="3" t="s">
        <v>254</v>
      </c>
      <c r="C12">
        <f>3/4</f>
        <v>0.75</v>
      </c>
      <c r="D12" s="3" t="s">
        <v>141</v>
      </c>
      <c r="E12">
        <f t="shared" ref="E12:E16" si="3">CONVERT(C12,"in","mm")</f>
        <v>19.05</v>
      </c>
      <c r="F12">
        <f>E12/2</f>
        <v>9.525</v>
      </c>
    </row>
    <row r="13" spans="1:7">
      <c r="A13">
        <f>C13/2</f>
        <v>0.625</v>
      </c>
      <c r="B13" s="3" t="s">
        <v>255</v>
      </c>
      <c r="C13" s="3">
        <f>1+1/4</f>
        <v>1.25</v>
      </c>
      <c r="D13" s="3" t="s">
        <v>141</v>
      </c>
      <c r="E13">
        <f t="shared" si="3"/>
        <v>31.75</v>
      </c>
      <c r="F13">
        <f>E13/2</f>
        <v>15.875</v>
      </c>
      <c r="G13" s="1">
        <f>C13/C20</f>
        <v>0.833333333333333</v>
      </c>
    </row>
    <row r="14" spans="2:10">
      <c r="B14" s="3" t="s">
        <v>256</v>
      </c>
      <c r="C14" s="3">
        <f>3</f>
        <v>3</v>
      </c>
      <c r="D14" s="3" t="s">
        <v>141</v>
      </c>
      <c r="E14">
        <f t="shared" si="3"/>
        <v>76.2</v>
      </c>
      <c r="H14">
        <f>E14+1</f>
        <v>77.2</v>
      </c>
      <c r="I14">
        <f>H14/2</f>
        <v>38.6</v>
      </c>
      <c r="J14">
        <f>I14-0.5</f>
        <v>38.1</v>
      </c>
    </row>
    <row r="15" spans="2:11">
      <c r="B15" s="3" t="s">
        <v>257</v>
      </c>
      <c r="C15">
        <f>C6</f>
        <v>0.375</v>
      </c>
      <c r="D15" t="str">
        <f>D14</f>
        <v>inches</v>
      </c>
      <c r="E15">
        <f t="shared" si="3"/>
        <v>9.525</v>
      </c>
      <c r="K15">
        <f t="shared" ref="K15:K19" si="4">E15-$F$6</f>
        <v>4.7625</v>
      </c>
    </row>
    <row r="16" spans="2:11">
      <c r="B16" s="3" t="s">
        <v>258</v>
      </c>
      <c r="C16">
        <f>C15+1/4</f>
        <v>0.625</v>
      </c>
      <c r="D16" t="str">
        <f t="shared" ref="D16:D19" si="5">D21</f>
        <v>inches</v>
      </c>
      <c r="E16">
        <f t="shared" si="3"/>
        <v>15.875</v>
      </c>
      <c r="K16">
        <f t="shared" si="4"/>
        <v>11.1125</v>
      </c>
    </row>
    <row r="17" spans="2:7">
      <c r="B17" s="3" t="s">
        <v>259</v>
      </c>
      <c r="C17">
        <f>C13-0.25</f>
        <v>1</v>
      </c>
      <c r="D17" s="3" t="s">
        <v>141</v>
      </c>
      <c r="G17" s="1">
        <f>C17/C5</f>
        <v>0.533333333333333</v>
      </c>
    </row>
    <row r="18" spans="2:11">
      <c r="B18" s="3" t="s">
        <v>260</v>
      </c>
      <c r="C18">
        <f>C16</f>
        <v>0.625</v>
      </c>
      <c r="D18" t="str">
        <f t="shared" si="5"/>
        <v>inches</v>
      </c>
      <c r="E18">
        <f t="shared" ref="E18:E22" si="6">CONVERT(C18,"in","mm")</f>
        <v>15.875</v>
      </c>
      <c r="K18">
        <f t="shared" si="4"/>
        <v>11.1125</v>
      </c>
    </row>
    <row r="19" spans="2:11">
      <c r="B19" s="3" t="s">
        <v>261</v>
      </c>
      <c r="C19">
        <f>1+1/8+C18</f>
        <v>1.75</v>
      </c>
      <c r="D19" t="str">
        <f t="shared" si="5"/>
        <v>degrees</v>
      </c>
      <c r="E19">
        <f t="shared" si="6"/>
        <v>44.45</v>
      </c>
      <c r="K19">
        <f t="shared" si="4"/>
        <v>39.6875</v>
      </c>
    </row>
    <row r="20" spans="1:12">
      <c r="A20">
        <f>C20/2</f>
        <v>0.75</v>
      </c>
      <c r="B20" s="3" t="s">
        <v>262</v>
      </c>
      <c r="C20">
        <f>C12+(3/8)*2</f>
        <v>1.5</v>
      </c>
      <c r="D20" s="3" t="s">
        <v>141</v>
      </c>
      <c r="G20" s="1">
        <f>C20/C17</f>
        <v>1.5</v>
      </c>
      <c r="K20">
        <f>C19-C12</f>
        <v>1</v>
      </c>
      <c r="L20">
        <f>K20/2</f>
        <v>0.5</v>
      </c>
    </row>
    <row r="21" spans="2:11">
      <c r="B21" s="3" t="s">
        <v>263</v>
      </c>
      <c r="C21">
        <v>3.106</v>
      </c>
      <c r="D21" s="3" t="s">
        <v>141</v>
      </c>
      <c r="E21">
        <f t="shared" si="6"/>
        <v>78.8924</v>
      </c>
      <c r="J21">
        <f t="shared" ref="J21:J25" si="7">E21-$J$14</f>
        <v>40.7924</v>
      </c>
      <c r="K21">
        <f t="shared" ref="K21:K25" si="8">E21-$F$6</f>
        <v>74.1299</v>
      </c>
    </row>
    <row r="22" spans="2:11">
      <c r="B22" s="3" t="s">
        <v>264</v>
      </c>
      <c r="C22">
        <f>C21+1/16</f>
        <v>3.1685</v>
      </c>
      <c r="D22" s="3" t="s">
        <v>141</v>
      </c>
      <c r="E22">
        <f t="shared" si="6"/>
        <v>80.4799</v>
      </c>
      <c r="F22">
        <f>CONVERT(25.4,"mm","in")</f>
        <v>1</v>
      </c>
      <c r="J22">
        <f t="shared" si="7"/>
        <v>42.3799</v>
      </c>
      <c r="K22">
        <f t="shared" si="8"/>
        <v>75.7174</v>
      </c>
    </row>
    <row r="23" spans="2:7">
      <c r="B23" s="3" t="s">
        <v>265</v>
      </c>
      <c r="C23">
        <f>15/64</f>
        <v>0.234375</v>
      </c>
      <c r="D23" s="3" t="s">
        <v>141</v>
      </c>
      <c r="G23" s="1">
        <f>C23/C12</f>
        <v>0.3125</v>
      </c>
    </row>
    <row r="24" spans="2:4">
      <c r="B24" s="3" t="s">
        <v>266</v>
      </c>
      <c r="C24">
        <v>15</v>
      </c>
      <c r="D24" s="3" t="s">
        <v>21</v>
      </c>
    </row>
    <row r="25" spans="1:11">
      <c r="A25">
        <f>9/32</f>
        <v>0.28125</v>
      </c>
      <c r="B25" s="3" t="s">
        <v>267</v>
      </c>
      <c r="C25">
        <v>3.25</v>
      </c>
      <c r="D25" s="3" t="s">
        <v>141</v>
      </c>
      <c r="E25">
        <f t="shared" ref="E25:E29" si="9">CONVERT(C25,"in","mm")</f>
        <v>82.55</v>
      </c>
      <c r="J25">
        <f t="shared" si="7"/>
        <v>44.45</v>
      </c>
      <c r="K25">
        <f t="shared" si="8"/>
        <v>77.7875</v>
      </c>
    </row>
    <row r="26" spans="2:4">
      <c r="B26" s="3" t="s">
        <v>268</v>
      </c>
      <c r="C26">
        <f>C25-C22</f>
        <v>0.0815000000000001</v>
      </c>
      <c r="D26" s="3" t="s">
        <v>141</v>
      </c>
    </row>
    <row r="27" spans="2:7">
      <c r="B27" s="3" t="s">
        <v>269</v>
      </c>
      <c r="C27">
        <v>0.2907</v>
      </c>
      <c r="D27" s="3" t="s">
        <v>141</v>
      </c>
      <c r="E27">
        <f t="shared" si="9"/>
        <v>7.38378</v>
      </c>
      <c r="F27">
        <f t="shared" ref="F27:F32" si="10">E27/2</f>
        <v>3.69189</v>
      </c>
      <c r="G27" s="1">
        <f>C27/C23</f>
        <v>1.24032</v>
      </c>
    </row>
    <row r="28" spans="2:4">
      <c r="B28" s="3" t="s">
        <v>270</v>
      </c>
      <c r="C28">
        <v>0.5</v>
      </c>
      <c r="D28" s="3" t="s">
        <v>141</v>
      </c>
    </row>
    <row r="29" spans="2:7">
      <c r="B29" s="3" t="s">
        <v>271</v>
      </c>
      <c r="C29" s="3">
        <v>0.4531</v>
      </c>
      <c r="D29" s="3" t="s">
        <v>141</v>
      </c>
      <c r="E29">
        <f t="shared" si="9"/>
        <v>11.50874</v>
      </c>
      <c r="F29">
        <f t="shared" si="10"/>
        <v>5.75437</v>
      </c>
      <c r="G29" s="1">
        <f>C29/C13</f>
        <v>0.36248</v>
      </c>
    </row>
    <row r="30" spans="2:3">
      <c r="B30" s="4" t="s">
        <v>272</v>
      </c>
      <c r="C30" s="4" t="s">
        <v>273</v>
      </c>
    </row>
    <row r="31" spans="2:6">
      <c r="B31" s="3" t="s">
        <v>274</v>
      </c>
      <c r="C31">
        <v>0.489</v>
      </c>
      <c r="D31" s="3" t="s">
        <v>141</v>
      </c>
      <c r="E31">
        <f>CONVERT(C31,"in","mm")</f>
        <v>12.4206</v>
      </c>
      <c r="F31">
        <f t="shared" si="10"/>
        <v>6.2103</v>
      </c>
    </row>
    <row r="32" spans="2:9">
      <c r="B32" s="3" t="s">
        <v>275</v>
      </c>
      <c r="C32">
        <v>0.629</v>
      </c>
      <c r="D32" s="3" t="s">
        <v>141</v>
      </c>
      <c r="E32">
        <f>CONVERT(C32,"in","mm")</f>
        <v>15.9766</v>
      </c>
      <c r="F32">
        <f t="shared" si="10"/>
        <v>7.9883</v>
      </c>
      <c r="H32">
        <f>E25-I32/2</f>
        <v>81.3054</v>
      </c>
      <c r="I32">
        <f>CONVERT(((C32-C31)*0.7),"in","mm")</f>
        <v>2.4892</v>
      </c>
    </row>
    <row r="33" spans="5:5">
      <c r="E33">
        <f>C4-C25</f>
        <v>0.5</v>
      </c>
    </row>
    <row r="35" spans="2:5">
      <c r="B35" s="1" t="s">
        <v>276</v>
      </c>
      <c r="E35">
        <f>7/32</f>
        <v>0.21875</v>
      </c>
    </row>
    <row r="36" spans="2:4">
      <c r="B36" s="3" t="s">
        <v>277</v>
      </c>
      <c r="C36">
        <f>C13</f>
        <v>1.25</v>
      </c>
      <c r="D36" t="str">
        <f>D13</f>
        <v>inches</v>
      </c>
    </row>
    <row r="37" spans="2:4">
      <c r="B37" s="3" t="s">
        <v>278</v>
      </c>
      <c r="C37">
        <f>3/8</f>
        <v>0.375</v>
      </c>
      <c r="D37" t="str">
        <f>D14</f>
        <v>inches</v>
      </c>
    </row>
    <row r="38" spans="2:4">
      <c r="B38" t="str">
        <f t="shared" ref="B38:D39" si="11">B23</f>
        <v>throat diameter =</v>
      </c>
      <c r="C38">
        <f t="shared" si="11"/>
        <v>0.234375</v>
      </c>
      <c r="D38" t="str">
        <f t="shared" si="11"/>
        <v>inches</v>
      </c>
    </row>
    <row r="39" spans="2:4">
      <c r="B39" t="str">
        <f t="shared" si="11"/>
        <v>throat divergence angle = </v>
      </c>
      <c r="C39">
        <f t="shared" si="11"/>
        <v>15</v>
      </c>
      <c r="D39" t="str">
        <f t="shared" si="11"/>
        <v>degrees</v>
      </c>
    </row>
    <row r="40" spans="2:3">
      <c r="B40" t="str">
        <f>B25</f>
        <v>throat divergence point = </v>
      </c>
      <c r="C40">
        <f>C25</f>
        <v>3.25</v>
      </c>
    </row>
    <row r="41" spans="5:5">
      <c r="E41" s="3"/>
    </row>
    <row r="42" spans="2:5">
      <c r="B42" s="1" t="s">
        <v>279</v>
      </c>
      <c r="E42">
        <f>C45/2</f>
        <v>0.1695</v>
      </c>
    </row>
    <row r="43" spans="2:5">
      <c r="B43" s="3" t="s">
        <v>280</v>
      </c>
      <c r="C43">
        <f>7/8</f>
        <v>0.875</v>
      </c>
      <c r="D43" s="3" t="s">
        <v>141</v>
      </c>
      <c r="E43">
        <f t="shared" ref="E43:E45" si="12">CONVERT(C43,"in","mm")</f>
        <v>22.225</v>
      </c>
    </row>
    <row r="44" spans="2:5">
      <c r="B44" s="3" t="s">
        <v>281</v>
      </c>
      <c r="C44">
        <v>1.25</v>
      </c>
      <c r="D44" t="str">
        <f>D43</f>
        <v>inches</v>
      </c>
      <c r="E44">
        <f t="shared" si="12"/>
        <v>31.75</v>
      </c>
    </row>
    <row r="45" spans="2:6">
      <c r="B45" s="3" t="s">
        <v>282</v>
      </c>
      <c r="C45">
        <v>0.339</v>
      </c>
      <c r="D45" s="3" t="s">
        <v>283</v>
      </c>
      <c r="E45">
        <f t="shared" si="12"/>
        <v>8.6106</v>
      </c>
      <c r="F45">
        <f>E45/2</f>
        <v>4.3053</v>
      </c>
    </row>
    <row r="46" spans="2:4">
      <c r="B46" s="3" t="s">
        <v>284</v>
      </c>
      <c r="C46" s="3" t="s">
        <v>285</v>
      </c>
      <c r="D46" s="3" t="s">
        <v>286</v>
      </c>
    </row>
    <row r="47" spans="2:3">
      <c r="B47" s="3" t="s">
        <v>287</v>
      </c>
      <c r="C47" t="s">
        <v>288</v>
      </c>
    </row>
    <row r="48" spans="2:5">
      <c r="B48" s="3" t="s">
        <v>289</v>
      </c>
      <c r="C48">
        <f>9</f>
        <v>9</v>
      </c>
      <c r="D48" s="3" t="s">
        <v>207</v>
      </c>
      <c r="E48">
        <f>C48/2</f>
        <v>4.5</v>
      </c>
    </row>
    <row r="49" spans="2:4">
      <c r="B49" s="3" t="s">
        <v>290</v>
      </c>
      <c r="C49">
        <v>5</v>
      </c>
      <c r="D49" s="3" t="s">
        <v>207</v>
      </c>
    </row>
    <row r="50" spans="2:5">
      <c r="B50" s="3" t="s">
        <v>291</v>
      </c>
      <c r="C50">
        <v>15</v>
      </c>
      <c r="D50" s="3" t="s">
        <v>207</v>
      </c>
      <c r="E50">
        <f>C50/2</f>
        <v>7.5</v>
      </c>
    </row>
    <row r="56" spans="2:2">
      <c r="B56">
        <f>7/16</f>
        <v>0.4375</v>
      </c>
    </row>
    <row r="63" spans="2:8">
      <c r="B63" s="3"/>
      <c r="C63" s="3"/>
      <c r="F63" s="3"/>
      <c r="H63" s="3"/>
    </row>
    <row r="64" spans="2:6">
      <c r="B64" s="3"/>
      <c r="C64" s="5"/>
      <c r="D64" s="3"/>
      <c r="E64" s="5"/>
      <c r="F64" s="5"/>
    </row>
    <row r="65" spans="2:6">
      <c r="B65" s="3"/>
      <c r="C65" s="5"/>
      <c r="D65" s="3"/>
      <c r="E65" s="6"/>
      <c r="F65" s="3"/>
    </row>
    <row r="66" spans="2:6">
      <c r="B66" s="3"/>
      <c r="C66" s="6"/>
      <c r="D66" s="3"/>
      <c r="E66" s="6"/>
      <c r="F66" s="3"/>
    </row>
    <row r="67" spans="2:8">
      <c r="B67" s="3"/>
      <c r="D67" s="3"/>
      <c r="E67" s="6"/>
      <c r="F67" s="3"/>
      <c r="G67" s="7"/>
      <c r="H67" s="3"/>
    </row>
    <row r="68" spans="2:8">
      <c r="B68" s="3"/>
      <c r="D68" s="3"/>
      <c r="E68" s="6"/>
      <c r="H68" s="3"/>
    </row>
    <row r="69" spans="2:8">
      <c r="B69" s="3"/>
      <c r="D69" s="3"/>
      <c r="F69" s="3"/>
      <c r="G69" s="8"/>
      <c r="H69" s="5"/>
    </row>
    <row r="70" spans="2:8">
      <c r="B70" s="3"/>
      <c r="C70" s="7"/>
      <c r="D70" s="3"/>
      <c r="E70" s="6"/>
      <c r="F70" s="3"/>
      <c r="G70" s="9"/>
      <c r="H70" s="3"/>
    </row>
    <row r="71" spans="2:8">
      <c r="B71" s="3"/>
      <c r="C71" s="6"/>
      <c r="D71" s="3"/>
      <c r="E71" s="6"/>
      <c r="F71" s="3"/>
      <c r="H71" s="3"/>
    </row>
    <row r="72" spans="2:8">
      <c r="B72" s="3"/>
      <c r="C72" s="6"/>
      <c r="D72" s="3"/>
      <c r="E72" s="6"/>
      <c r="F72" s="3"/>
      <c r="H72" s="3"/>
    </row>
    <row r="73" spans="2:8">
      <c r="B73" s="3"/>
      <c r="C73" s="3"/>
      <c r="F73" s="3"/>
      <c r="H73" s="3"/>
    </row>
    <row r="74" spans="2:8">
      <c r="B74" s="3"/>
      <c r="D74" s="3"/>
      <c r="E74" s="6"/>
      <c r="F74" s="5"/>
      <c r="G74" s="10"/>
      <c r="H74" s="3"/>
    </row>
    <row r="75" spans="2:8">
      <c r="B75" s="3"/>
      <c r="C75" s="7"/>
      <c r="D75" s="3"/>
      <c r="E75" s="6"/>
      <c r="F75" s="3"/>
      <c r="G75" s="11"/>
      <c r="H75" s="3"/>
    </row>
    <row r="76" spans="2:8">
      <c r="B76" s="3"/>
      <c r="C76" s="3"/>
      <c r="D76" s="3"/>
      <c r="F76" s="3"/>
      <c r="H76" s="3"/>
    </row>
    <row r="77" spans="2:8">
      <c r="B77" s="3"/>
      <c r="C77" s="7"/>
      <c r="D77" s="3"/>
      <c r="E77" s="6"/>
      <c r="F77" s="12"/>
      <c r="H77" s="3"/>
    </row>
    <row r="78" spans="2:8">
      <c r="B78" s="3"/>
      <c r="D78" s="3"/>
      <c r="E78" s="6"/>
      <c r="F78" s="13"/>
      <c r="G78" s="14"/>
      <c r="H78" s="14"/>
    </row>
    <row r="79" spans="2:8">
      <c r="B79" s="3"/>
      <c r="C79" s="8"/>
      <c r="D79" s="3"/>
      <c r="E79" s="6"/>
      <c r="F79" s="3"/>
      <c r="G79" s="9"/>
      <c r="H79" s="3"/>
    </row>
    <row r="80" spans="2:8">
      <c r="B80" s="3"/>
      <c r="C80" s="9"/>
      <c r="D80" s="3"/>
      <c r="F80" s="3"/>
      <c r="H80" s="3"/>
    </row>
    <row r="81" spans="2:8">
      <c r="B81" s="3"/>
      <c r="D81" s="3"/>
      <c r="E81" s="6"/>
      <c r="F81" s="3"/>
      <c r="H81" s="3"/>
    </row>
    <row r="82" spans="3:8">
      <c r="C82" s="3"/>
      <c r="D82" s="3"/>
      <c r="F82" s="15"/>
      <c r="G82" s="10"/>
      <c r="H82" s="3"/>
    </row>
    <row r="84" spans="6:6">
      <c r="F84" s="1"/>
    </row>
    <row r="85" spans="2:7">
      <c r="B85" s="3"/>
      <c r="C85" s="3"/>
      <c r="D85" s="3"/>
      <c r="G85" s="6"/>
    </row>
    <row r="86" spans="2:9">
      <c r="B86" s="3"/>
      <c r="H86" s="6"/>
      <c r="I86" s="6"/>
    </row>
    <row r="87" spans="2:4">
      <c r="B87" s="3"/>
      <c r="D87" s="3"/>
    </row>
    <row r="88" spans="1:3">
      <c r="A88" s="3"/>
      <c r="C88" s="3"/>
    </row>
    <row r="89" spans="1:1">
      <c r="A89" s="3"/>
    </row>
    <row r="92" spans="5:5">
      <c r="E92" s="16"/>
    </row>
  </sheetData>
  <pageMargins left="0.25" right="0.25" top="0.75" bottom="0.75" header="0.3" footer="0.3"/>
  <pageSetup paperSize="1" scale="37"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VesselCharacteristics</vt:lpstr>
      <vt:lpstr>Igniter Design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Sortino</dc:creator>
  <cp:lastModifiedBy>asd2323r</cp:lastModifiedBy>
  <dcterms:created xsi:type="dcterms:W3CDTF">1996-10-14T23:33:00Z</dcterms:created>
  <cp:lastPrinted>2011-08-05T13:32:00Z</cp:lastPrinted>
  <dcterms:modified xsi:type="dcterms:W3CDTF">2017-03-17T01:24:23Z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1033-10.2.0.5820</vt:lpwstr>
  </property>
</Properties>
</file>