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>
    <definedName name="M_ox">Sheet1!$B$20</definedName>
    <definedName name="Cf">Sheet1!$H$5</definedName>
    <definedName name="wDot_f">Sheet1!$H$29</definedName>
    <definedName name="e">Sheet1!$H$12</definedName>
    <definedName name="pAltitude">Sheet1!$H$22</definedName>
    <definedName name="k">Sheet1!$B$30</definedName>
    <definedName name="lengthConvNoz">Sheet1!$B$47</definedName>
    <definedName name="Isp">Sheet1!$H$6</definedName>
    <definedName name="pAmbient">Sheet1!$B$10</definedName>
    <definedName name="diaThroat">Sheet1!$B$43</definedName>
    <definedName name="M">Sheet1!$B$9</definedName>
    <definedName name="rho_f_Average">Sheet1!$B$27</definedName>
    <definedName name="wDot_o">Sheet1!$H$28</definedName>
    <definedName name="pExit">Sheet1!$B$7</definedName>
    <definedName name="rho_f_Ambient">Sheet1!$B$26</definedName>
    <definedName name="rho_o">Sheet1!$B$15</definedName>
    <definedName name="wDot">Sheet1!$H$27</definedName>
    <definedName name="rho_f">Sheet1!$B$25</definedName>
    <definedName name="k_ox">Sheet1!$B$21</definedName>
    <definedName name="Lstar">Sheet1!$B$11</definedName>
    <definedName name="dia_o">Sheet1!$H$41</definedName>
    <definedName name="area2">Sheet1!$H$11</definedName>
    <definedName name="ec">Sheet1!$B$36</definedName>
    <definedName name="p_cr_ox">Sheet1!$B$18</definedName>
    <definedName name="Q_o">Sheet1!$H$30</definedName>
    <definedName name="angleConvNoz">Sheet1!$B$37</definedName>
    <definedName name="t_cr_ox">Sheet1!$B$19</definedName>
    <definedName name="dia_f">Sheet1!$H$40</definedName>
    <definedName name="area1">Sheet1!$H$14</definedName>
    <definedName name="tFuelInj">Sheet1!$B$24</definedName>
    <definedName name="dpInj_f">Sheet1!$B$12</definedName>
    <definedName name="dpInj_o">Sheet1!$B$13</definedName>
    <definedName name="volConv">Sheet1!$B$49</definedName>
    <definedName name="length1">Sheet1!$B$45</definedName>
    <definedName name="tOxInj">Sheet1!$B$16</definedName>
    <definedName name="Cd">Sheet1!$B$14</definedName>
    <definedName name="vel_o">Sheet1!$H$37</definedName>
    <definedName name="areaT">Sheet1!$H$7</definedName>
    <definedName name="F">Sheet1!$B$6</definedName>
    <definedName name="angleDivNoz">Sheet1!$B$38</definedName>
    <definedName name="tFuelAmb">Sheet1!$B$22</definedName>
    <definedName name="angle_o">Sheet1!$B$29</definedName>
    <definedName name="lengthDivNoz">Sheet1!$B$48</definedName>
    <definedName name="T0g">Sheet1!$B$8</definedName>
    <definedName name="nPairs">Sheet1!$B$28</definedName>
    <definedName name="area_f_tot">Sheet1!$H$34</definedName>
    <definedName name="p">Sheet1!$B$5</definedName>
    <definedName name="area_o">Sheet1!$H$35</definedName>
    <definedName name="cstar">Sheet1!$H$4</definedName>
    <definedName name="area_f">Sheet1!$H$36</definedName>
    <definedName name="tFuelAvg">Sheet1!$B$23</definedName>
    <definedName name="vel_f">Sheet1!$H$38</definedName>
    <definedName name="Q_f">Sheet1!$H$31</definedName>
    <definedName name="g">Sheet1!$B$34</definedName>
    <definedName name="area_o_tot">Sheet1!$H$33</definedName>
    <definedName name="volChamber">Sheet1!$B$50</definedName>
    <definedName name="Z_ox">Sheet1!$B$17</definedName>
    <definedName name="nv">Sheet1!$B$31</definedName>
    <definedName name="Rgas">Sheet1!$B$35</definedName>
    <definedName name="angle_f">Sheet1!$H$39</definedName>
    <definedName name="nf">Sheet1!$B$32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B16">
      <text>
        <t xml:space="preserve">Somewhere between 288 and 540</t>
      </text>
    </comment>
  </commentList>
</comments>
</file>

<file path=xl/sharedStrings.xml><?xml version="1.0" encoding="utf-8"?>
<sst xmlns="http://schemas.openxmlformats.org/spreadsheetml/2006/main" count="236" uniqueCount="191">
  <si>
    <t>Component List</t>
  </si>
  <si>
    <t>Rocket Igniter Design Spreadsheet</t>
  </si>
  <si>
    <t>Price</t>
  </si>
  <si>
    <t>Part Number</t>
  </si>
  <si>
    <t>304 Stainless Steel</t>
  </si>
  <si>
    <t>Bernzomatic Gox Tank</t>
  </si>
  <si>
    <t>Home Depot</t>
  </si>
  <si>
    <t>Unitorch RP3A Regulator</t>
  </si>
  <si>
    <t>https://www.amazon.com/Uniweld-RP3A-Unitorch-Regulator-Fitting/dp/B00U3RGDQK/ref=sr_1_3?s=hi&amp;ie=UTF8&amp;qid=1476334629&amp;sr=1-3&amp;keywords=unitorch+regulator</t>
  </si>
  <si>
    <t>r</t>
  </si>
  <si>
    <t>mixture ratio</t>
  </si>
  <si>
    <t>cstar</t>
  </si>
  <si>
    <t>Spark plugs-8mm</t>
  </si>
  <si>
    <t>NGK8201/4653</t>
  </si>
  <si>
    <t>.007in Fitting-Fuel</t>
  </si>
  <si>
    <t>CJ-1010-007-V</t>
  </si>
  <si>
    <t>High Voltage source</t>
  </si>
  <si>
    <t>.023in Fitting-GOX</t>
  </si>
  <si>
    <t>CJ-1010-022-V</t>
  </si>
  <si>
    <t>#21 Drill Bit/#21 Tap</t>
  </si>
  <si>
    <t>Dewalt Home Depot</t>
  </si>
  <si>
    <t>ft/sec</t>
  </si>
  <si>
    <t>Pressure Tap</t>
  </si>
  <si>
    <t>corrected cstar</t>
  </si>
  <si>
    <t>p</t>
  </si>
  <si>
    <t xml:space="preserve">Compression fittings </t>
  </si>
  <si>
    <t>psia</t>
  </si>
  <si>
    <t>chamber pressure</t>
  </si>
  <si>
    <t>Cf</t>
  </si>
  <si>
    <t>MCB-1018-V</t>
  </si>
  <si>
    <t xml:space="preserve">Solenoid </t>
  </si>
  <si>
    <t>corrected thrust coefficient at pAmbient</t>
  </si>
  <si>
    <t>F</t>
  </si>
  <si>
    <t>lbf</t>
  </si>
  <si>
    <t>design thrust</t>
  </si>
  <si>
    <t>Isp</t>
  </si>
  <si>
    <t>sec</t>
  </si>
  <si>
    <t>corrected specific impulse</t>
  </si>
  <si>
    <t>pExit</t>
  </si>
  <si>
    <t>Design exit pressure</t>
  </si>
  <si>
    <t>areaT</t>
  </si>
  <si>
    <t>in^2</t>
  </si>
  <si>
    <t>nozzle throat area (as built)</t>
  </si>
  <si>
    <t>T0g</t>
  </si>
  <si>
    <t>deg R</t>
  </si>
  <si>
    <t>combustion temp from propep, aka (Tc)ns</t>
  </si>
  <si>
    <t>vel2</t>
  </si>
  <si>
    <t>ideal gas velocity</t>
  </si>
  <si>
    <t>M</t>
  </si>
  <si>
    <t>lb/mol</t>
  </si>
  <si>
    <t>molecular weight of exhaust gases from propep</t>
  </si>
  <si>
    <t>pAmbient</t>
  </si>
  <si>
    <t>Design ambient pressure</t>
  </si>
  <si>
    <t>c</t>
  </si>
  <si>
    <t>effective exhaust velocity</t>
  </si>
  <si>
    <t>Lstar</t>
  </si>
  <si>
    <t>chamber volume to throat area ratio</t>
  </si>
  <si>
    <t>area2</t>
  </si>
  <si>
    <t>nozzle exit area</t>
  </si>
  <si>
    <t>dpInj_f</t>
  </si>
  <si>
    <t>psi</t>
  </si>
  <si>
    <t>injector pressure drop (20% of p)</t>
  </si>
  <si>
    <t>e</t>
  </si>
  <si>
    <t>nozzle area expansion ratio (to pExit)</t>
  </si>
  <si>
    <t>dpInj_o</t>
  </si>
  <si>
    <t>injector pressure drop (2 * dpInj_f) (AGARD AG-148-71)</t>
  </si>
  <si>
    <t>Cd</t>
  </si>
  <si>
    <t>injector orifice discharge coeff</t>
  </si>
  <si>
    <t>area1</t>
  </si>
  <si>
    <t>chamber area</t>
  </si>
  <si>
    <t>rho_o</t>
  </si>
  <si>
    <t>lbm/ft^3</t>
  </si>
  <si>
    <t>oxidizer density at injection temp and pressure</t>
  </si>
  <si>
    <t>tOxInj</t>
  </si>
  <si>
    <t>degR</t>
  </si>
  <si>
    <t>oxidizer temperature at injection (LOX after heat exchanger)</t>
  </si>
  <si>
    <t>Z_ox</t>
  </si>
  <si>
    <t>oxidizer compressibility factor</t>
  </si>
  <si>
    <t>p_cr_ox</t>
  </si>
  <si>
    <t>lbf/in^2</t>
  </si>
  <si>
    <t>critical pressure of gox</t>
  </si>
  <si>
    <t>t_cr_ox</t>
  </si>
  <si>
    <t>critical temperature of gox</t>
  </si>
  <si>
    <t>M_ox</t>
  </si>
  <si>
    <t>/mol</t>
  </si>
  <si>
    <t>molecular weight of gox</t>
  </si>
  <si>
    <t>k_ox</t>
  </si>
  <si>
    <t>specific heat ratio of gox</t>
  </si>
  <si>
    <t>tFuelAmb</t>
  </si>
  <si>
    <t>Ambient fuel temperature</t>
  </si>
  <si>
    <t>pAltitude</t>
  </si>
  <si>
    <t>actual ambient pressure at altitude</t>
  </si>
  <si>
    <t>tFuelAvg</t>
  </si>
  <si>
    <t>Average fuel temperature in cooling jacket</t>
  </si>
  <si>
    <t>fAltitude</t>
  </si>
  <si>
    <t>actual thrust at pAltitude</t>
  </si>
  <si>
    <t>tFuelInj</t>
  </si>
  <si>
    <t>Fuel injection temperature</t>
  </si>
  <si>
    <t>rho_f</t>
  </si>
  <si>
    <t>lb/ft^3</t>
  </si>
  <si>
    <t>fuel density at injection temp (Jet-A)</t>
  </si>
  <si>
    <t>rho_f_Ambient</t>
  </si>
  <si>
    <t>fuel density at ambient temp (Jet-A)</t>
  </si>
  <si>
    <t>vol1</t>
  </si>
  <si>
    <t>in^3</t>
  </si>
  <si>
    <t>chamber volume based on L* (cyl + converging portion)</t>
  </si>
  <si>
    <t>rho_f_Average</t>
  </si>
  <si>
    <t>average fuel density in cooling jacket (Hdbk of Aviation Fuel Properties Jet-A)</t>
  </si>
  <si>
    <t>wDot</t>
  </si>
  <si>
    <t>lb/sec</t>
  </si>
  <si>
    <t>propellant weight flow</t>
  </si>
  <si>
    <t>nPairs</t>
  </si>
  <si>
    <t>number of injection pairs</t>
  </si>
  <si>
    <t>wDot_o</t>
  </si>
  <si>
    <t>oxidizer weight flow</t>
  </si>
  <si>
    <t>angle_o</t>
  </si>
  <si>
    <t>deg</t>
  </si>
  <si>
    <t>oxidizer injection angle</t>
  </si>
  <si>
    <t>wDot_f</t>
  </si>
  <si>
    <t>fuel weight flow</t>
  </si>
  <si>
    <t>k</t>
  </si>
  <si>
    <t>specific heat ratio of exhaust gases from propep</t>
  </si>
  <si>
    <t>Q_o</t>
  </si>
  <si>
    <t>in^3/sec</t>
  </si>
  <si>
    <t>oxidizer volume flow</t>
  </si>
  <si>
    <t>nv</t>
  </si>
  <si>
    <t>c* correction factor (H&amp;H p. 70)</t>
  </si>
  <si>
    <t>Q_f</t>
  </si>
  <si>
    <t>fuel volume flow (at injector)</t>
  </si>
  <si>
    <t>nf</t>
  </si>
  <si>
    <t>Cf correction factor (H&amp;H p. 70)</t>
  </si>
  <si>
    <t>fuel volume flow (at flowmeter)</t>
  </si>
  <si>
    <t>area_o_tot</t>
  </si>
  <si>
    <t>total oxidizer injection area (using choked flow equations from Wikipedia)</t>
  </si>
  <si>
    <t>g</t>
  </si>
  <si>
    <t>ft/sec^2</t>
  </si>
  <si>
    <t>gravity</t>
  </si>
  <si>
    <t>area_f_tot</t>
  </si>
  <si>
    <t>total fuel injection area</t>
  </si>
  <si>
    <t>Rgas</t>
  </si>
  <si>
    <t>ft-lbf/lb-mol-degR</t>
  </si>
  <si>
    <t>ideal gas constant</t>
  </si>
  <si>
    <t>area_o</t>
  </si>
  <si>
    <t>oxidizer injection area (each hole)</t>
  </si>
  <si>
    <t>ec</t>
  </si>
  <si>
    <t>chamber contraction ratio</t>
  </si>
  <si>
    <t>area_f</t>
  </si>
  <si>
    <t>fuel injection area (each hole)</t>
  </si>
  <si>
    <t>angleConvNoz</t>
  </si>
  <si>
    <t>nozzle converging half angle</t>
  </si>
  <si>
    <t>vel_o</t>
  </si>
  <si>
    <t>oxidizer injection velocity</t>
  </si>
  <si>
    <t>angleDivNoz</t>
  </si>
  <si>
    <t>nozzle diverging half angle</t>
  </si>
  <si>
    <t>vel_f</t>
  </si>
  <si>
    <t>fuel injection velocity</t>
  </si>
  <si>
    <t>angle_f</t>
  </si>
  <si>
    <t>fuel injector angle</t>
  </si>
  <si>
    <t>dia_f</t>
  </si>
  <si>
    <t>in</t>
  </si>
  <si>
    <t>fuel injector diameter (each hole)</t>
  </si>
  <si>
    <t>dia_o</t>
  </si>
  <si>
    <t>oxidizer injector diameter (each hole)</t>
  </si>
  <si>
    <t>dia1</t>
  </si>
  <si>
    <t>chamber diameter</t>
  </si>
  <si>
    <t>included angle between LOX/fuel holes</t>
  </si>
  <si>
    <t>diaThroat</t>
  </si>
  <si>
    <t>nozzle throat diameter</t>
  </si>
  <si>
    <t>dia2</t>
  </si>
  <si>
    <t>nozzle exit diameter</t>
  </si>
  <si>
    <t>dia_o_alternate</t>
  </si>
  <si>
    <t>oxidizer injector diameter (each hole, alternate formula)</t>
  </si>
  <si>
    <t>length1</t>
  </si>
  <si>
    <t>chamber length</t>
  </si>
  <si>
    <t>dia_f_alternate</t>
  </si>
  <si>
    <t>fuel injector diameter (each hole, alternate formula)</t>
  </si>
  <si>
    <t>wall thickness at throat</t>
  </si>
  <si>
    <t>area_o_alternate</t>
  </si>
  <si>
    <t>total oxidizer injection area, alternate formula</t>
  </si>
  <si>
    <t>lengthConvNoz</t>
  </si>
  <si>
    <t>convergent cone length</t>
  </si>
  <si>
    <t>area_f_alternate</t>
  </si>
  <si>
    <t>total fuel injection area, alternate formula</t>
  </si>
  <si>
    <t>lengthDivNoz</t>
  </si>
  <si>
    <t>divergent cone length</t>
  </si>
  <si>
    <t>vel_o_alternate</t>
  </si>
  <si>
    <t>volConv</t>
  </si>
  <si>
    <t>convergent cone volume</t>
  </si>
  <si>
    <t>vel_f_alternate</t>
  </si>
  <si>
    <t>volChamber</t>
  </si>
  <si>
    <t>cylindrical chamber 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</si>
</sst>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00"/>
    <numFmt numFmtId="165" formatCode="&quot;$&quot;#,##0.00"/>
    <numFmt numFmtId="166" formatCode="&quot;$&quot;#,##0_);[Red]\(&quot;$&quot;#,##0\)"/>
    <numFmt numFmtId="167" formatCode="0.0"/>
    <numFmt numFmtId="168" formatCode="0.0000"/>
    <numFmt numFmtId="169" formatCode="0.000"/>
  </numFmts>
  <fonts count="6">
    <font>
      <sz val="10.0"/>
      <color rgb="FF000000"/>
      <name val="Arial"/>
    </font>
    <font>
      <sz val="10.0"/>
      <name val="Arial"/>
    </font>
    <font>
      <b/>
      <sz val="10.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3A3026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Alignment="1" applyFont="1">
      <alignment/>
    </xf>
    <xf borderId="0" fillId="0" fontId="1" numFmtId="166" xfId="0" applyAlignment="1" applyFont="1" applyNumberFormat="1">
      <alignment/>
    </xf>
    <xf borderId="0" fillId="0" fontId="3" numFmtId="0" xfId="0" applyFont="1"/>
    <xf borderId="0" fillId="0" fontId="1" numFmtId="165" xfId="0" applyAlignment="1" applyFont="1" applyNumberFormat="1">
      <alignment/>
    </xf>
    <xf borderId="0" fillId="2" fontId="1" numFmtId="167" xfId="0" applyBorder="1" applyFill="1" applyFont="1" applyNumberFormat="1"/>
    <xf borderId="0" fillId="0" fontId="4" numFmtId="166" xfId="0" applyAlignment="1" applyFont="1" applyNumberFormat="1">
      <alignment/>
    </xf>
    <xf borderId="0" fillId="0" fontId="1" numFmtId="165" xfId="0" applyFont="1" applyNumberFormat="1"/>
    <xf borderId="0" fillId="2" fontId="1" numFmtId="0" xfId="0" applyAlignment="1" applyBorder="1" applyFont="1">
      <alignment/>
    </xf>
    <xf borderId="0" fillId="3" fontId="5" numFmtId="165" xfId="0" applyAlignment="1" applyFill="1" applyFont="1" applyNumberFormat="1">
      <alignment horizontal="left"/>
    </xf>
    <xf borderId="0" fillId="0" fontId="1" numFmtId="0" xfId="0" applyAlignment="1" applyFont="1">
      <alignment/>
    </xf>
    <xf borderId="0" fillId="0" fontId="1" numFmtId="165" xfId="0" applyAlignment="1" applyFont="1" applyNumberFormat="1">
      <alignment/>
    </xf>
    <xf borderId="0" fillId="2" fontId="1" numFmtId="0" xfId="0" applyBorder="1" applyFont="1"/>
    <xf borderId="0" fillId="0" fontId="1" numFmtId="168" xfId="0" applyFont="1" applyNumberFormat="1"/>
    <xf borderId="0" fillId="4" fontId="1" numFmtId="0" xfId="0" applyBorder="1" applyFill="1" applyFont="1"/>
    <xf borderId="0" fillId="2" fontId="1" numFmtId="168" xfId="0" applyBorder="1" applyFont="1" applyNumberFormat="1"/>
    <xf borderId="0" fillId="0" fontId="1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rocket@watzlavick.com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Uniweld-RP3A-Unitorch-Regulator-Fitting/dp/B00U3RGDQK/ref=sr_1_3?s=hi&amp;ie=UTF8&amp;qid=1476334629&amp;sr=1-3&amp;keywords=unitorch+regulato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29"/>
    <col customWidth="1" min="2" max="2" width="11.71"/>
    <col customWidth="1" min="3" max="3" width="17.57"/>
    <col customWidth="1" min="4" max="5" width="11.86"/>
    <col customWidth="1" min="6" max="6" width="19.14"/>
    <col customWidth="1" min="7" max="7" width="17.0"/>
    <col customWidth="1" min="8" max="8" width="11.43"/>
    <col customWidth="1" min="9" max="9" width="8.29"/>
    <col customWidth="1" min="10" max="10" width="31.29"/>
    <col customWidth="1" min="11" max="11" width="11.43"/>
    <col customWidth="1" min="12" max="12" width="18.43"/>
    <col customWidth="1" min="13" max="13" width="18.0"/>
    <col customWidth="1" min="14" max="20" width="11.43"/>
    <col customWidth="1" min="21" max="26" width="8.0"/>
  </cols>
  <sheetData>
    <row r="1" ht="12.75" customHeight="1">
      <c r="A1" s="2" t="s">
        <v>1</v>
      </c>
      <c r="B1" s="4"/>
      <c r="C1" s="5"/>
      <c r="D1" s="5"/>
      <c r="E1" s="5"/>
      <c r="F1" s="5"/>
      <c r="G1" s="4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9" t="str">
        <f>HYPERLINK("mailto:rocket@watzlavick.com","© Robert Watzlavick (rocket@watzlavick.com)")</f>
        <v>© Robert Watzlavick (rocket@watzlavick.com)</v>
      </c>
      <c r="B2" s="4"/>
      <c r="C2" s="5"/>
      <c r="D2" s="5"/>
      <c r="E2" s="5"/>
      <c r="F2" s="5"/>
      <c r="G2" s="4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4"/>
      <c r="B3" s="4"/>
      <c r="C3" s="5"/>
      <c r="D3" s="5"/>
      <c r="E3" s="5"/>
      <c r="F3" s="5"/>
      <c r="G3" s="4"/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4" t="s">
        <v>9</v>
      </c>
      <c r="B4" s="11">
        <v>1.2</v>
      </c>
      <c r="C4" s="5"/>
      <c r="D4" s="5" t="s">
        <v>10</v>
      </c>
      <c r="E4" s="5"/>
      <c r="F4" s="5"/>
      <c r="G4" s="4" t="s">
        <v>11</v>
      </c>
      <c r="H4" s="4">
        <f>((k*g*T0g*Rgas/M)^0.5)/(k*(((2/(k+1))^((k+1)/(k-1))^0.5)))*nv</f>
        <v>3482.343409</v>
      </c>
      <c r="I4" s="4" t="s">
        <v>21</v>
      </c>
      <c r="J4" s="4" t="s">
        <v>23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4" t="s">
        <v>24</v>
      </c>
      <c r="B5" s="14">
        <v>130.0</v>
      </c>
      <c r="C5" s="5" t="s">
        <v>26</v>
      </c>
      <c r="D5" s="5" t="s">
        <v>27</v>
      </c>
      <c r="E5" s="5"/>
      <c r="F5" s="5"/>
      <c r="G5" s="4" t="s">
        <v>28</v>
      </c>
      <c r="H5" s="5">
        <f>((((2*k^2/(k-1))*(2/(k+1))^((k+1)/(k-1)))*(1-(pExit/p)^((k-1)/k)))^0.5+e*((pExit-pAmbient)/p))*nf</f>
        <v>1.209891195</v>
      </c>
      <c r="I5" s="4"/>
      <c r="J5" s="4" t="s">
        <v>31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4" t="s">
        <v>32</v>
      </c>
      <c r="B6" s="18">
        <v>1.1</v>
      </c>
      <c r="C6" s="5" t="s">
        <v>33</v>
      </c>
      <c r="D6" s="5" t="s">
        <v>34</v>
      </c>
      <c r="E6" s="5"/>
      <c r="F6" s="5"/>
      <c r="G6" s="4" t="s">
        <v>35</v>
      </c>
      <c r="H6" s="4">
        <f>cstar*Cf/g</f>
        <v>130.9684995</v>
      </c>
      <c r="I6" s="4" t="s">
        <v>36</v>
      </c>
      <c r="J6" s="4" t="s">
        <v>37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 t="s">
        <v>38</v>
      </c>
      <c r="B7" s="4">
        <v>14.7</v>
      </c>
      <c r="C7" s="5" t="s">
        <v>26</v>
      </c>
      <c r="D7" s="5" t="s">
        <v>39</v>
      </c>
      <c r="E7" s="5"/>
      <c r="F7" s="5"/>
      <c r="G7" s="4" t="s">
        <v>40</v>
      </c>
      <c r="H7" s="5">
        <f>F/(Cf*p)</f>
        <v>0.006993635868</v>
      </c>
      <c r="I7" s="4" t="s">
        <v>41</v>
      </c>
      <c r="J7" s="4" t="s">
        <v>42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" t="s">
        <v>43</v>
      </c>
      <c r="B8" s="18">
        <v>2469.6</v>
      </c>
      <c r="C8" s="5" t="s">
        <v>44</v>
      </c>
      <c r="D8" s="5" t="s">
        <v>45</v>
      </c>
      <c r="E8" s="5"/>
      <c r="F8" s="5"/>
      <c r="G8" s="4" t="s">
        <v>46</v>
      </c>
      <c r="H8" s="5">
        <f>(F-area2*(pExit-pAmbient))*g/wDot</f>
        <v>4213.25663</v>
      </c>
      <c r="I8" s="4" t="s">
        <v>21</v>
      </c>
      <c r="J8" s="4" t="s">
        <v>47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 t="s">
        <v>48</v>
      </c>
      <c r="B9" s="18">
        <v>16.185</v>
      </c>
      <c r="C9" s="5" t="s">
        <v>49</v>
      </c>
      <c r="D9" s="5" t="s">
        <v>50</v>
      </c>
      <c r="E9" s="5"/>
      <c r="F9" s="5"/>
      <c r="G9" s="1"/>
      <c r="H9" s="1"/>
      <c r="I9" s="1"/>
      <c r="J9" s="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4" t="s">
        <v>51</v>
      </c>
      <c r="B10" s="1">
        <v>14.7</v>
      </c>
      <c r="C10" s="4" t="s">
        <v>26</v>
      </c>
      <c r="D10" s="4" t="s">
        <v>52</v>
      </c>
      <c r="E10" s="5"/>
      <c r="F10" s="5"/>
      <c r="G10" s="4" t="s">
        <v>53</v>
      </c>
      <c r="H10" s="5">
        <f>cstar*Cf</f>
        <v>4213.25663</v>
      </c>
      <c r="I10" s="4" t="s">
        <v>21</v>
      </c>
      <c r="J10" s="4" t="s">
        <v>54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 t="s">
        <v>55</v>
      </c>
      <c r="B11" s="18">
        <v>20.0</v>
      </c>
      <c r="C11" s="5"/>
      <c r="D11" s="5" t="s">
        <v>56</v>
      </c>
      <c r="E11" s="5"/>
      <c r="F11" s="5"/>
      <c r="G11" s="4" t="s">
        <v>57</v>
      </c>
      <c r="H11" s="5">
        <f>areaT*e</f>
        <v>0.01332715986</v>
      </c>
      <c r="I11" s="4" t="s">
        <v>41</v>
      </c>
      <c r="J11" s="4" t="s">
        <v>58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 t="s">
        <v>59</v>
      </c>
      <c r="B12" s="4">
        <v>407.0</v>
      </c>
      <c r="C12" s="5" t="s">
        <v>60</v>
      </c>
      <c r="D12" s="5" t="s">
        <v>61</v>
      </c>
      <c r="E12" s="5"/>
      <c r="F12" s="5"/>
      <c r="G12" s="4" t="s">
        <v>62</v>
      </c>
      <c r="H12" s="5">
        <f>(2/(k+1))^(1/(k-1))*((p/pExit)^(1/k))/(((k+1)/(k-1))*(1-(pExit/p)^((k-1)/k)))^0.5</f>
        <v>1.905612489</v>
      </c>
      <c r="I12" s="4"/>
      <c r="J12" s="4" t="s">
        <v>63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 t="s">
        <v>64</v>
      </c>
      <c r="B13" s="4">
        <v>219.0</v>
      </c>
      <c r="C13" s="5" t="s">
        <v>60</v>
      </c>
      <c r="D13" s="5" t="s">
        <v>65</v>
      </c>
      <c r="E13" s="5"/>
      <c r="F13" s="5"/>
      <c r="G13" s="1"/>
      <c r="H13" s="1"/>
      <c r="I13" s="1"/>
      <c r="J13" s="1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 t="s">
        <v>66</v>
      </c>
      <c r="B14" s="4">
        <v>0.9</v>
      </c>
      <c r="C14" s="5"/>
      <c r="D14" s="5" t="s">
        <v>67</v>
      </c>
      <c r="E14" s="5"/>
      <c r="F14" s="5"/>
      <c r="G14" s="4" t="s">
        <v>68</v>
      </c>
      <c r="H14" s="5">
        <f>areaT*ec</f>
        <v>0.06294272282</v>
      </c>
      <c r="I14" s="4" t="s">
        <v>41</v>
      </c>
      <c r="J14" s="4" t="s">
        <v>69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 t="s">
        <v>70</v>
      </c>
      <c r="B15" s="19">
        <f>((p+dpInj_o)*144)/(Z_ox*(Rgas/M_ox)*tOxInj)</f>
        <v>1.961211034</v>
      </c>
      <c r="C15" s="5" t="s">
        <v>71</v>
      </c>
      <c r="D15" s="5" t="s">
        <v>72</v>
      </c>
      <c r="E15" s="5"/>
      <c r="F15" s="5"/>
      <c r="G15" s="4"/>
      <c r="H15" s="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 t="s">
        <v>73</v>
      </c>
      <c r="B16" s="20">
        <v>540.0</v>
      </c>
      <c r="C16" s="5" t="s">
        <v>74</v>
      </c>
      <c r="D16" s="5" t="s">
        <v>75</v>
      </c>
      <c r="E16" s="5"/>
      <c r="F16" s="5"/>
      <c r="G16" s="4"/>
      <c r="H16" s="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 t="s">
        <v>76</v>
      </c>
      <c r="B17" s="19">
        <f>1+(9/128)*((p+dpInj_o)/p_cr_ox)/(tOxInj/t_cr_ox)*(1-6*(tOxInj/t_cr_ox)^(-2))</f>
        <v>0.9826684328</v>
      </c>
      <c r="C17" s="5"/>
      <c r="D17" s="5" t="s">
        <v>77</v>
      </c>
      <c r="E17" s="5"/>
      <c r="F17" s="5"/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 t="s">
        <v>78</v>
      </c>
      <c r="B18" s="4">
        <v>731.0</v>
      </c>
      <c r="C18" s="5" t="s">
        <v>79</v>
      </c>
      <c r="D18" s="5" t="s">
        <v>80</v>
      </c>
      <c r="E18" s="5"/>
      <c r="F18" s="5"/>
      <c r="G18" s="4"/>
      <c r="H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 t="s">
        <v>81</v>
      </c>
      <c r="B19" s="4">
        <v>305.0</v>
      </c>
      <c r="C19" s="5" t="s">
        <v>74</v>
      </c>
      <c r="D19" s="5" t="s">
        <v>82</v>
      </c>
      <c r="E19" s="5"/>
      <c r="F19" s="5"/>
      <c r="G19" s="4"/>
      <c r="H19" s="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 t="s">
        <v>83</v>
      </c>
      <c r="B20" s="4">
        <v>32.0</v>
      </c>
      <c r="C20" s="5" t="s">
        <v>84</v>
      </c>
      <c r="D20" s="5" t="s">
        <v>85</v>
      </c>
      <c r="E20" s="5"/>
      <c r="F20" s="5"/>
      <c r="G20" s="4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 t="s">
        <v>86</v>
      </c>
      <c r="B21" s="19">
        <v>1.395</v>
      </c>
      <c r="C21" s="5"/>
      <c r="D21" s="5" t="s">
        <v>87</v>
      </c>
      <c r="E21" s="5"/>
      <c r="F21" s="5"/>
      <c r="G21" s="4"/>
      <c r="H21" s="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 t="s">
        <v>88</v>
      </c>
      <c r="B22" s="4">
        <v>540.0</v>
      </c>
      <c r="C22" s="5" t="s">
        <v>74</v>
      </c>
      <c r="D22" s="5" t="s">
        <v>89</v>
      </c>
      <c r="E22" s="5"/>
      <c r="F22" s="5"/>
      <c r="G22" s="4" t="s">
        <v>90</v>
      </c>
      <c r="H22" s="4">
        <v>14.7</v>
      </c>
      <c r="I22" s="4" t="s">
        <v>26</v>
      </c>
      <c r="J22" s="4" t="s">
        <v>91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 t="s">
        <v>92</v>
      </c>
      <c r="B23" s="18">
        <f>tFuelAmb</f>
        <v>540</v>
      </c>
      <c r="C23" s="5" t="s">
        <v>74</v>
      </c>
      <c r="D23" s="5" t="s">
        <v>93</v>
      </c>
      <c r="E23" s="5"/>
      <c r="F23" s="5"/>
      <c r="G23" s="4" t="s">
        <v>94</v>
      </c>
      <c r="H23" s="4">
        <f>F+area2*(pExit-pAltitude)</f>
        <v>1.1</v>
      </c>
      <c r="I23" s="4"/>
      <c r="J23" s="4" t="s">
        <v>95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 t="s">
        <v>96</v>
      </c>
      <c r="B24" s="18">
        <f>tFuelAmb</f>
        <v>540</v>
      </c>
      <c r="C24" s="5" t="s">
        <v>74</v>
      </c>
      <c r="D24" s="5" t="s">
        <v>97</v>
      </c>
      <c r="E24" s="5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 t="s">
        <v>98</v>
      </c>
      <c r="B25" s="4">
        <f>tFuelInj*(-0.02488)+63.63</f>
        <v>50.1948</v>
      </c>
      <c r="C25" s="5" t="s">
        <v>99</v>
      </c>
      <c r="D25" s="5" t="s">
        <v>100</v>
      </c>
      <c r="E25" s="5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 t="s">
        <v>101</v>
      </c>
      <c r="B26" s="4">
        <f>tFuelAmb*(-0.02488)+63.63</f>
        <v>50.1948</v>
      </c>
      <c r="C26" s="5" t="s">
        <v>99</v>
      </c>
      <c r="D26" s="5" t="s">
        <v>102</v>
      </c>
      <c r="E26" s="5"/>
      <c r="F26" s="5"/>
      <c r="G26" s="4" t="s">
        <v>103</v>
      </c>
      <c r="H26" s="5">
        <f>Lstar*areaT</f>
        <v>0.1398727174</v>
      </c>
      <c r="I26" s="4" t="s">
        <v>104</v>
      </c>
      <c r="J26" s="4" t="s">
        <v>105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 t="s">
        <v>106</v>
      </c>
      <c r="B27" s="4">
        <f>(tFuelAvg)*(-0.02488)+63.63</f>
        <v>50.1948</v>
      </c>
      <c r="C27" s="5" t="s">
        <v>99</v>
      </c>
      <c r="D27" s="5" t="s">
        <v>107</v>
      </c>
      <c r="E27" s="5"/>
      <c r="F27" s="5"/>
      <c r="G27" s="4" t="s">
        <v>108</v>
      </c>
      <c r="H27" s="5">
        <f>F*g/H10</f>
        <v>0.008398966194</v>
      </c>
      <c r="I27" s="4" t="s">
        <v>109</v>
      </c>
      <c r="J27" s="4" t="s">
        <v>110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 t="s">
        <v>111</v>
      </c>
      <c r="B28" s="4">
        <v>1.0</v>
      </c>
      <c r="C28" s="5"/>
      <c r="D28" s="5" t="s">
        <v>112</v>
      </c>
      <c r="E28" s="5"/>
      <c r="F28" s="5"/>
      <c r="G28" s="4" t="s">
        <v>113</v>
      </c>
      <c r="H28" s="5">
        <f>wDot*B4/(B4+1)</f>
        <v>0.004581254288</v>
      </c>
      <c r="I28" s="4" t="s">
        <v>109</v>
      </c>
      <c r="J28" s="4" t="s">
        <v>114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 t="s">
        <v>115</v>
      </c>
      <c r="B29" s="4">
        <v>23.0</v>
      </c>
      <c r="C29" s="5" t="s">
        <v>116</v>
      </c>
      <c r="D29" s="5" t="s">
        <v>117</v>
      </c>
      <c r="E29" s="5"/>
      <c r="F29" s="5"/>
      <c r="G29" s="4" t="s">
        <v>118</v>
      </c>
      <c r="H29" s="5">
        <f>wDot/(B4+1)</f>
        <v>0.003817711906</v>
      </c>
      <c r="I29" s="4" t="s">
        <v>109</v>
      </c>
      <c r="J29" s="4" t="s">
        <v>119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 t="s">
        <v>120</v>
      </c>
      <c r="B30" s="21">
        <v>1.3163</v>
      </c>
      <c r="C30" s="5"/>
      <c r="D30" s="5" t="s">
        <v>121</v>
      </c>
      <c r="E30" s="5"/>
      <c r="F30" s="5"/>
      <c r="G30" s="4" t="s">
        <v>122</v>
      </c>
      <c r="H30" s="5">
        <f>wDot_o*1728/rho_o</f>
        <v>4.036489328</v>
      </c>
      <c r="I30" s="4" t="s">
        <v>123</v>
      </c>
      <c r="J30" s="4" t="s">
        <v>124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 t="s">
        <v>125</v>
      </c>
      <c r="B31" s="22">
        <v>0.975</v>
      </c>
      <c r="C31" s="4"/>
      <c r="D31" s="4" t="s">
        <v>126</v>
      </c>
      <c r="E31" s="5"/>
      <c r="F31" s="5"/>
      <c r="G31" s="4" t="s">
        <v>127</v>
      </c>
      <c r="H31" s="5">
        <f>wDot_f*1728/rho_f</f>
        <v>0.1314280797</v>
      </c>
      <c r="I31" s="4" t="s">
        <v>123</v>
      </c>
      <c r="J31" s="4" t="s">
        <v>128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 t="s">
        <v>129</v>
      </c>
      <c r="B32" s="22">
        <v>0.98</v>
      </c>
      <c r="C32" s="4"/>
      <c r="D32" s="4" t="s">
        <v>130</v>
      </c>
      <c r="E32" s="5"/>
      <c r="F32" s="5"/>
      <c r="G32" s="1" t="s">
        <v>127</v>
      </c>
      <c r="H32" s="5">
        <f>wDot_f*1728/rho_f_Ambient</f>
        <v>0.1314280797</v>
      </c>
      <c r="I32" s="4" t="s">
        <v>123</v>
      </c>
      <c r="J32" s="4" t="s">
        <v>131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1"/>
      <c r="B33" s="1"/>
      <c r="C33" s="1"/>
      <c r="D33" s="1"/>
      <c r="E33" s="5"/>
      <c r="F33" s="5"/>
      <c r="G33" s="4" t="s">
        <v>132</v>
      </c>
      <c r="H33" s="5">
        <f>wDot_o/(Cd*SQRT(g/144*rho_o*(p+dpInj_o)*(2/(k_ox+1))^((k_ox+1)/(k_ox-1))))</f>
        <v>0.0007109292238</v>
      </c>
      <c r="I33" s="4" t="s">
        <v>41</v>
      </c>
      <c r="J33" s="4" t="s">
        <v>133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 t="s">
        <v>134</v>
      </c>
      <c r="B34" s="4">
        <v>32.17</v>
      </c>
      <c r="C34" s="5" t="s">
        <v>135</v>
      </c>
      <c r="D34" s="5" t="s">
        <v>136</v>
      </c>
      <c r="E34" s="5"/>
      <c r="F34" s="5"/>
      <c r="G34" s="4" t="s">
        <v>137</v>
      </c>
      <c r="H34" s="5">
        <f>(wDot_f*144)/(Cd*SQRT(2*g*dpInj_f*144*rho_f))</f>
        <v>0.00004439916392</v>
      </c>
      <c r="I34" s="4" t="s">
        <v>41</v>
      </c>
      <c r="J34" s="4" t="s">
        <v>138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 t="s">
        <v>139</v>
      </c>
      <c r="B35" s="4">
        <v>1545.3</v>
      </c>
      <c r="C35" s="5" t="s">
        <v>140</v>
      </c>
      <c r="D35" s="5" t="s">
        <v>141</v>
      </c>
      <c r="E35" s="5"/>
      <c r="F35" s="5"/>
      <c r="G35" s="4" t="s">
        <v>142</v>
      </c>
      <c r="H35" s="5">
        <f>area_o_tot/nPairs</f>
        <v>0.0007109292238</v>
      </c>
      <c r="I35" s="4" t="s">
        <v>41</v>
      </c>
      <c r="J35" s="4" t="s">
        <v>143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 t="s">
        <v>144</v>
      </c>
      <c r="B36" s="18">
        <v>9.0</v>
      </c>
      <c r="C36" s="5"/>
      <c r="D36" s="5" t="s">
        <v>145</v>
      </c>
      <c r="E36" s="5"/>
      <c r="F36" s="5"/>
      <c r="G36" s="4" t="s">
        <v>146</v>
      </c>
      <c r="H36" s="5">
        <f>area_f_tot/nPairs</f>
        <v>0.00004439916392</v>
      </c>
      <c r="I36" s="4" t="s">
        <v>41</v>
      </c>
      <c r="J36" s="4" t="s">
        <v>147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 t="s">
        <v>148</v>
      </c>
      <c r="B37" s="4">
        <v>30.0</v>
      </c>
      <c r="C37" s="5" t="s">
        <v>116</v>
      </c>
      <c r="D37" s="5" t="s">
        <v>149</v>
      </c>
      <c r="E37" s="5"/>
      <c r="F37" s="5"/>
      <c r="G37" s="4" t="s">
        <v>150</v>
      </c>
      <c r="H37" s="5">
        <f>Cd*SQRT(2*g*dpInj_o*144/rho_o)</f>
        <v>915.4279689</v>
      </c>
      <c r="I37" s="4" t="s">
        <v>21</v>
      </c>
      <c r="J37" s="4" t="s">
        <v>151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 t="s">
        <v>152</v>
      </c>
      <c r="B38" s="4">
        <v>15.0</v>
      </c>
      <c r="C38" s="5" t="s">
        <v>116</v>
      </c>
      <c r="D38" s="5" t="s">
        <v>153</v>
      </c>
      <c r="E38" s="5"/>
      <c r="F38" s="5"/>
      <c r="G38" s="4" t="s">
        <v>154</v>
      </c>
      <c r="H38" s="5">
        <f>Cd*SQRT(2*g*dpInj_f*144/rho_f)</f>
        <v>246.6789688</v>
      </c>
      <c r="I38" s="4" t="s">
        <v>21</v>
      </c>
      <c r="J38" s="4" t="s">
        <v>155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1"/>
      <c r="B39" s="1"/>
      <c r="C39" s="1"/>
      <c r="D39" s="1"/>
      <c r="E39" s="5"/>
      <c r="F39" s="5"/>
      <c r="G39" s="4" t="s">
        <v>156</v>
      </c>
      <c r="H39" s="5" t="str">
        <f>ASIN(r*(vel_o/vel_f)*SIN(angle_o*PI()/180))*180/PI()</f>
        <v>#ERROR!</v>
      </c>
      <c r="I39" s="4" t="s">
        <v>116</v>
      </c>
      <c r="J39" s="4" t="s">
        <v>157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5"/>
      <c r="D40" s="5"/>
      <c r="E40" s="5"/>
      <c r="F40" s="5"/>
      <c r="G40" s="4" t="s">
        <v>158</v>
      </c>
      <c r="H40" s="19">
        <f>SQRT(area_f*4/PI())</f>
        <v>0.007518694784</v>
      </c>
      <c r="I40" s="4" t="s">
        <v>159</v>
      </c>
      <c r="J40" s="4" t="s">
        <v>160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5"/>
      <c r="D41" s="5"/>
      <c r="E41" s="5"/>
      <c r="F41" s="5"/>
      <c r="G41" s="4" t="s">
        <v>161</v>
      </c>
      <c r="H41" s="19">
        <f>SQRT(area_o*4/PI())</f>
        <v>0.03008626267</v>
      </c>
      <c r="I41" s="4" t="s">
        <v>159</v>
      </c>
      <c r="J41" s="4" t="s">
        <v>162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 t="s">
        <v>163</v>
      </c>
      <c r="B42" s="5">
        <f>SQRT(4*area1/PI())</f>
        <v>0.2830921471</v>
      </c>
      <c r="C42" s="5" t="s">
        <v>159</v>
      </c>
      <c r="D42" s="5" t="s">
        <v>164</v>
      </c>
      <c r="E42" s="5"/>
      <c r="F42" s="5"/>
      <c r="G42" s="4"/>
      <c r="H42" s="5" t="str">
        <f>B29+H39</f>
        <v>#ERROR!</v>
      </c>
      <c r="I42" s="4" t="s">
        <v>116</v>
      </c>
      <c r="J42" s="4" t="s">
        <v>165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 t="s">
        <v>166</v>
      </c>
      <c r="B43" s="5">
        <f>SQRT(4*areaT/PI())</f>
        <v>0.09436404903</v>
      </c>
      <c r="C43" s="5" t="s">
        <v>159</v>
      </c>
      <c r="D43" s="5" t="s">
        <v>167</v>
      </c>
      <c r="E43" s="5"/>
      <c r="F43" s="5"/>
      <c r="G43" s="4"/>
      <c r="H43" s="1"/>
      <c r="I43" s="4"/>
      <c r="J43" s="4"/>
      <c r="K43" s="1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 t="s">
        <v>168</v>
      </c>
      <c r="B44" s="5">
        <f>SQRT(4*area2/PI())</f>
        <v>0.1302638359</v>
      </c>
      <c r="C44" s="5" t="s">
        <v>159</v>
      </c>
      <c r="D44" s="5" t="s">
        <v>169</v>
      </c>
      <c r="E44" s="5"/>
      <c r="F44" s="5"/>
      <c r="G44" s="4" t="s">
        <v>170</v>
      </c>
      <c r="H44" s="22">
        <f>((3.627*1.7*wDot_o^2)/(rho_o*dpInj_o*nPairs^2))^0.25</f>
        <v>0.02342875483</v>
      </c>
      <c r="I44" s="5" t="s">
        <v>159</v>
      </c>
      <c r="J44" s="4" t="s">
        <v>171</v>
      </c>
      <c r="K44" s="1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 t="s">
        <v>172</v>
      </c>
      <c r="B45" s="5">
        <f>volChamber/area1</f>
        <v>0.06717675819</v>
      </c>
      <c r="C45" s="5" t="s">
        <v>159</v>
      </c>
      <c r="D45" s="5" t="s">
        <v>173</v>
      </c>
      <c r="E45" s="5"/>
      <c r="F45" s="5"/>
      <c r="G45" s="4" t="s">
        <v>174</v>
      </c>
      <c r="H45" s="22">
        <f>((3.627*1.7*wDot_f^2)/(rho_f*dpInj_f*nPairs^2))^0.25</f>
        <v>0.008143993364</v>
      </c>
      <c r="I45" s="5" t="s">
        <v>159</v>
      </c>
      <c r="J45" s="4" t="s">
        <v>175</v>
      </c>
      <c r="K45" s="1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>
        <f>(DIA1-diaThroat)/2</f>
        <v>-0.04718202451</v>
      </c>
      <c r="C46" s="5" t="s">
        <v>159</v>
      </c>
      <c r="D46" s="5" t="s">
        <v>176</v>
      </c>
      <c r="E46" s="5"/>
      <c r="F46" s="5"/>
      <c r="G46" s="4" t="s">
        <v>177</v>
      </c>
      <c r="H46" s="5">
        <f>wDot_o*SQRT((2.238*1.7)/(rho_o*dpInj_o))</f>
        <v>0.0004311760989</v>
      </c>
      <c r="I46" s="5" t="s">
        <v>41</v>
      </c>
      <c r="J46" s="4" t="s">
        <v>178</v>
      </c>
      <c r="K46" s="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 t="s">
        <v>179</v>
      </c>
      <c r="B47" s="22">
        <f>(DIA1-diaThroat)/2/TAN(RADIANS(angleConvNoz))</f>
        <v>-0.08172166366</v>
      </c>
      <c r="C47" s="5" t="s">
        <v>159</v>
      </c>
      <c r="D47" s="5" t="s">
        <v>180</v>
      </c>
      <c r="E47" s="5"/>
      <c r="F47" s="5"/>
      <c r="G47" s="4" t="s">
        <v>181</v>
      </c>
      <c r="H47" s="5">
        <f>wDot_f*SQRT((2.238*1.7)/(rho_f*dpInj_f))</f>
        <v>0.00005209920371</v>
      </c>
      <c r="I47" s="5" t="s">
        <v>41</v>
      </c>
      <c r="J47" s="4" t="s">
        <v>182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 t="s">
        <v>183</v>
      </c>
      <c r="B48" s="22">
        <f>(DIA2-diaThroat)/2/TAN(RADIANS(angleDivNoz))</f>
        <v>-0.1760857127</v>
      </c>
      <c r="C48" s="5" t="s">
        <v>159</v>
      </c>
      <c r="D48" s="5" t="s">
        <v>184</v>
      </c>
      <c r="E48" s="5"/>
      <c r="F48" s="5"/>
      <c r="G48" s="1" t="s">
        <v>185</v>
      </c>
      <c r="H48" s="4">
        <f>(144*wDot_o)/(H46*rho_o)</f>
        <v>780.1316251</v>
      </c>
      <c r="I48" s="1" t="s">
        <v>21</v>
      </c>
      <c r="J48" s="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 t="s">
        <v>186</v>
      </c>
      <c r="B49" s="4">
        <f>(PI()/3)*lengthConvNoz*((DIA1/2)^2+(diaThroat/2)^2+(DIA1/2)+(diaThroat/2))</f>
        <v>-0.004228288071</v>
      </c>
      <c r="C49" s="5" t="s">
        <v>104</v>
      </c>
      <c r="D49" s="5" t="s">
        <v>187</v>
      </c>
      <c r="E49" s="5"/>
      <c r="F49" s="5"/>
      <c r="G49" s="1" t="s">
        <v>188</v>
      </c>
      <c r="H49" s="4">
        <f>(144*wDot_f)/(H47*rho_f)</f>
        <v>210.2208709</v>
      </c>
      <c r="I49" s="1" t="s">
        <v>21</v>
      </c>
      <c r="J49" s="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 t="s">
        <v>189</v>
      </c>
      <c r="B50" s="4">
        <f>VOL1-volConv</f>
        <v>0.004228288071</v>
      </c>
      <c r="C50" s="5" t="s">
        <v>104</v>
      </c>
      <c r="D50" s="5" t="s">
        <v>190</v>
      </c>
      <c r="E50" s="5"/>
      <c r="F50" s="5"/>
      <c r="G50" s="1"/>
      <c r="H50" s="1"/>
      <c r="I50" s="1"/>
      <c r="J50" s="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4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>
        <f>DIA1/2</f>
        <v>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>
        <f>diaThroat/2</f>
        <v>0.04718202451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>
        <f>DIA2/2</f>
        <v>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4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4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4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4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4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4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4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4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4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4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4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4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4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4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4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4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4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4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4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4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4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4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4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4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4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4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4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4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4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4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4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4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4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4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4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4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4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4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4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4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4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4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4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4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4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4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4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4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4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4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4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4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4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4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4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4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4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4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4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4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4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2" ref="A2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3.57"/>
    <col customWidth="1" min="2" max="2" width="11.43"/>
    <col customWidth="1" min="3" max="3" width="140.86"/>
    <col customWidth="1" min="4" max="12" width="11.43"/>
    <col customWidth="1" min="13" max="26" width="8.0"/>
  </cols>
  <sheetData>
    <row r="1" ht="12.75" customHeight="1">
      <c r="A1" s="2" t="s">
        <v>0</v>
      </c>
      <c r="B1" s="2" t="s">
        <v>2</v>
      </c>
      <c r="C1" s="3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 t="s">
        <v>4</v>
      </c>
      <c r="B2" s="6">
        <v>12.0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7" t="s">
        <v>5</v>
      </c>
      <c r="B3" s="6">
        <v>10.0</v>
      </c>
      <c r="C3" s="8" t="s">
        <v>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7" t="s">
        <v>7</v>
      </c>
      <c r="B4" s="10">
        <v>68.0</v>
      </c>
      <c r="C4" s="12" t="s">
        <v>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7" t="s">
        <v>12</v>
      </c>
      <c r="B5" s="6">
        <v>11.46</v>
      </c>
      <c r="C5" s="7" t="s">
        <v>13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7" t="s">
        <v>14</v>
      </c>
      <c r="B6" s="10">
        <v>55.25</v>
      </c>
      <c r="C6" s="7" t="s">
        <v>15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 t="s">
        <v>16</v>
      </c>
      <c r="B7" s="10">
        <v>20.0</v>
      </c>
      <c r="C7" s="7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7" t="s">
        <v>17</v>
      </c>
      <c r="B8" s="10">
        <v>55.25</v>
      </c>
      <c r="C8" s="7" t="s">
        <v>18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7" t="s">
        <v>19</v>
      </c>
      <c r="B9" s="10">
        <v>5.77</v>
      </c>
      <c r="C9" s="7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7" t="s">
        <v>22</v>
      </c>
      <c r="B10" s="1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7" t="s">
        <v>25</v>
      </c>
      <c r="B11" s="15">
        <v>4.8</v>
      </c>
      <c r="C11" s="16" t="s">
        <v>29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7" t="s">
        <v>30</v>
      </c>
      <c r="B12" s="17">
        <v>42.0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hyperlinks>
    <hyperlink r:id="rId1" ref="C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0" width="11.43"/>
    <col customWidth="1" min="11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