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pintle-injector\Pintle_V3_Testing raw data\"/>
    </mc:Choice>
  </mc:AlternateContent>
  <xr:revisionPtr revIDLastSave="0" documentId="13_ncr:1_{04205747-A647-4D63-85EF-EAEB94ED6BAA}" xr6:coauthVersionLast="43" xr6:coauthVersionMax="43" xr10:uidLastSave="{00000000-0000-0000-0000-000000000000}"/>
  <bookViews>
    <workbookView xWindow="1200" yWindow="960" windowWidth="12240" windowHeight="9720" xr2:uid="{1C337766-0B60-4982-99F7-C0C8567B4E66}"/>
  </bookViews>
  <sheets>
    <sheet name="FlowRate" sheetId="2" r:id="rId1"/>
    <sheet name="Fow Rates Raw" sheetId="3" r:id="rId2"/>
  </sheets>
  <definedNames>
    <definedName name="Annulus_area">FlowRate!$Z$5</definedName>
    <definedName name="annulus_area2">FlowRate!$AE$6</definedName>
    <definedName name="blockage_factor">FlowRate!$AF$3</definedName>
    <definedName name="Density_h20">FlowRate!$B$4</definedName>
    <definedName name="density_IPA">FlowRate!$AI$32</definedName>
    <definedName name="density_LOX">FlowRate!$AI$31</definedName>
    <definedName name="gal_to_meter">FlowRate!$C$7</definedName>
    <definedName name="kl_annulus">FlowRate!$Z$15</definedName>
    <definedName name="kl_pintle">FlowRate!$Z$23</definedName>
    <definedName name="Liter_to_meter">FlowRate!$C$4</definedName>
    <definedName name="Pintle_Area">FlowRate!$Z$4</definedName>
    <definedName name="pintle_area2">FlowRate!$AC$4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" i="2" l="1"/>
  <c r="Z38" i="2" s="1"/>
  <c r="AB38" i="2" s="1"/>
  <c r="W38" i="2"/>
  <c r="Y38" i="2" s="1"/>
  <c r="AA38" i="2" s="1"/>
  <c r="AD38" i="2" s="1"/>
  <c r="X40" i="2"/>
  <c r="Z40" i="2" s="1"/>
  <c r="AB40" i="2" s="1"/>
  <c r="W40" i="2"/>
  <c r="Y40" i="2" s="1"/>
  <c r="AA40" i="2" s="1"/>
  <c r="AD40" i="2" s="1"/>
  <c r="AL36" i="2"/>
  <c r="AK36" i="2"/>
  <c r="AM36" i="2" s="1"/>
  <c r="X37" i="2"/>
  <c r="Z37" i="2" s="1"/>
  <c r="AB37" i="2" s="1"/>
  <c r="W37" i="2"/>
  <c r="Y37" i="2" s="1"/>
  <c r="AA37" i="2" s="1"/>
  <c r="AD37" i="2" s="1"/>
  <c r="X36" i="2"/>
  <c r="Z36" i="2" s="1"/>
  <c r="AB36" i="2" s="1"/>
  <c r="W36" i="2"/>
  <c r="Y36" i="2" s="1"/>
  <c r="AA36" i="2" s="1"/>
  <c r="AD36" i="2" s="1"/>
  <c r="X35" i="2"/>
  <c r="Z35" i="2" s="1"/>
  <c r="AB35" i="2" s="1"/>
  <c r="W35" i="2"/>
  <c r="Y35" i="2" s="1"/>
  <c r="AA35" i="2" s="1"/>
  <c r="AD35" i="2" s="1"/>
  <c r="AG30" i="2"/>
  <c r="AG31" i="2"/>
  <c r="AG34" i="2"/>
  <c r="AG33" i="2"/>
  <c r="AG32" i="2"/>
  <c r="AL37" i="2" l="1"/>
  <c r="AK37" i="2"/>
  <c r="AC38" i="2"/>
  <c r="AE38" i="2"/>
  <c r="AG38" i="2" s="1"/>
  <c r="AE40" i="2"/>
  <c r="AG40" i="2" s="1"/>
  <c r="AC40" i="2"/>
  <c r="AK40" i="2"/>
  <c r="AL40" i="2"/>
  <c r="AC37" i="2"/>
  <c r="AE37" i="2"/>
  <c r="AG37" i="2" s="1"/>
  <c r="AE36" i="2"/>
  <c r="AG36" i="2" s="1"/>
  <c r="AC36" i="2"/>
  <c r="AC35" i="2"/>
  <c r="AE35" i="2"/>
  <c r="AG35" i="2" s="1"/>
  <c r="AE6" i="2"/>
  <c r="AC4" i="2"/>
  <c r="W7" i="2"/>
  <c r="AM37" i="2" l="1"/>
  <c r="AF38" i="2"/>
  <c r="AM40" i="2"/>
  <c r="AF40" i="2"/>
  <c r="AF37" i="2"/>
  <c r="AF36" i="2"/>
  <c r="AF35" i="2"/>
  <c r="W34" i="2"/>
  <c r="X33" i="2"/>
  <c r="W33" i="2"/>
  <c r="X34" i="2"/>
  <c r="X32" i="2"/>
  <c r="W32" i="2"/>
  <c r="X31" i="2"/>
  <c r="W31" i="2"/>
  <c r="X30" i="2"/>
  <c r="W30" i="2"/>
  <c r="V27" i="2"/>
  <c r="V26" i="2"/>
  <c r="V25" i="2"/>
  <c r="V24" i="2"/>
  <c r="V18" i="2"/>
  <c r="V17" i="2"/>
  <c r="V16" i="2"/>
  <c r="V22" i="2"/>
  <c r="V21" i="2"/>
  <c r="V20" i="2"/>
  <c r="V14" i="2"/>
  <c r="V13" i="2"/>
  <c r="V12" i="2"/>
  <c r="Q4" i="2"/>
  <c r="Q5" i="2" s="1"/>
  <c r="P4" i="2"/>
  <c r="P5" i="2" s="1"/>
  <c r="O4" i="2"/>
  <c r="O5" i="2" s="1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R7" i="2"/>
  <c r="R8" i="2" s="1"/>
  <c r="Q7" i="2"/>
  <c r="Q8" i="2" s="1"/>
  <c r="P7" i="2"/>
  <c r="P8" i="2" s="1"/>
  <c r="O7" i="2"/>
  <c r="O8" i="2" s="1"/>
  <c r="N7" i="2"/>
  <c r="N8" i="2" s="1"/>
  <c r="M7" i="2"/>
  <c r="M8" i="2" s="1"/>
  <c r="L7" i="2"/>
  <c r="L8" i="2" s="1"/>
  <c r="K7" i="2"/>
  <c r="K8" i="2" s="1"/>
  <c r="J7" i="2"/>
  <c r="J8" i="2" s="1"/>
  <c r="I7" i="2"/>
  <c r="I8" i="2" s="1"/>
  <c r="H7" i="2"/>
  <c r="H8" i="2" s="1"/>
  <c r="G7" i="2"/>
  <c r="G8" i="2" s="1"/>
  <c r="F7" i="2"/>
  <c r="F8" i="2" s="1"/>
  <c r="F4" i="2"/>
  <c r="F5" i="2" s="1"/>
  <c r="T18" i="2" l="1"/>
  <c r="W18" i="2" s="1"/>
  <c r="X18" i="2" s="1"/>
  <c r="T31" i="2"/>
  <c r="T24" i="2"/>
  <c r="W24" i="2" s="1"/>
  <c r="X24" i="2" s="1"/>
  <c r="T14" i="2"/>
  <c r="W14" i="2" s="1"/>
  <c r="X14" i="2" s="1"/>
  <c r="T26" i="2"/>
  <c r="W26" i="2" s="1"/>
  <c r="X26" i="2" s="1"/>
  <c r="T12" i="2"/>
  <c r="W12" i="2" s="1"/>
  <c r="X12" i="2" s="1"/>
  <c r="T32" i="2"/>
  <c r="T17" i="2"/>
  <c r="W17" i="2" s="1"/>
  <c r="X17" i="2" s="1"/>
  <c r="T27" i="2"/>
  <c r="W27" i="2" s="1"/>
  <c r="X27" i="2" s="1"/>
  <c r="T22" i="2"/>
  <c r="W22" i="2" s="1"/>
  <c r="X22" i="2" s="1"/>
  <c r="T13" i="2"/>
  <c r="W13" i="2" s="1"/>
  <c r="X13" i="2" s="1"/>
  <c r="T16" i="2"/>
  <c r="W16" i="2" s="1"/>
  <c r="X16" i="2" s="1"/>
  <c r="T21" i="2"/>
  <c r="W21" i="2" s="1"/>
  <c r="X21" i="2" s="1"/>
  <c r="T30" i="2"/>
  <c r="T25" i="2"/>
  <c r="W25" i="2" s="1"/>
  <c r="X25" i="2" s="1"/>
  <c r="T20" i="2"/>
  <c r="W20" i="2" s="1"/>
  <c r="X20" i="2" s="1"/>
  <c r="Z23" i="2" l="1"/>
  <c r="Z15" i="2"/>
  <c r="Y33" i="2" l="1"/>
  <c r="AA33" i="2" s="1"/>
  <c r="AD33" i="2" s="1"/>
  <c r="Y34" i="2"/>
  <c r="AA34" i="2" s="1"/>
  <c r="AD34" i="2" s="1"/>
  <c r="Z33" i="2"/>
  <c r="AB33" i="2" s="1"/>
  <c r="Z34" i="2"/>
  <c r="AB34" i="2" s="1"/>
  <c r="Y31" i="2"/>
  <c r="Y32" i="2"/>
  <c r="Y30" i="2"/>
  <c r="Z31" i="2"/>
  <c r="Z32" i="2"/>
  <c r="Z30" i="2"/>
  <c r="AC34" i="2" l="1"/>
  <c r="AE34" i="2"/>
  <c r="AF34" i="2" s="1"/>
  <c r="AE33" i="2"/>
  <c r="AF33" i="2" s="1"/>
  <c r="AC33" i="2"/>
  <c r="AB31" i="2"/>
  <c r="AL31" i="2"/>
  <c r="AA30" i="2"/>
  <c r="AD30" i="2" s="1"/>
  <c r="AK30" i="2"/>
  <c r="AB30" i="2"/>
  <c r="AL30" i="2"/>
  <c r="AA32" i="2"/>
  <c r="AD32" i="2" s="1"/>
  <c r="AK32" i="2"/>
  <c r="AB32" i="2"/>
  <c r="AL32" i="2"/>
  <c r="AA31" i="2"/>
  <c r="AD31" i="2" s="1"/>
  <c r="AK31" i="2"/>
  <c r="AC31" i="2" l="1"/>
  <c r="AC32" i="2"/>
  <c r="AC30" i="2"/>
  <c r="AM31" i="2"/>
  <c r="AM32" i="2"/>
  <c r="AM30" i="2"/>
  <c r="AE32" i="2"/>
  <c r="AF32" i="2" s="1"/>
  <c r="AE30" i="2"/>
  <c r="AF30" i="2" s="1"/>
  <c r="AE31" i="2"/>
  <c r="AF31" i="2" s="1"/>
</calcChain>
</file>

<file path=xl/sharedStrings.xml><?xml version="1.0" encoding="utf-8"?>
<sst xmlns="http://schemas.openxmlformats.org/spreadsheetml/2006/main" count="264" uniqueCount="71">
  <si>
    <t>Annulus</t>
  </si>
  <si>
    <t>Pintle</t>
  </si>
  <si>
    <t>psi</t>
  </si>
  <si>
    <t>density</t>
  </si>
  <si>
    <t>pa</t>
  </si>
  <si>
    <t>Med</t>
  </si>
  <si>
    <t>Liters</t>
  </si>
  <si>
    <t>2 duplicate</t>
  </si>
  <si>
    <t>spray</t>
  </si>
  <si>
    <t>Could</t>
  </si>
  <si>
    <t>not</t>
  </si>
  <si>
    <t>tell</t>
  </si>
  <si>
    <t>the</t>
  </si>
  <si>
    <t>water</t>
  </si>
  <si>
    <t>level</t>
  </si>
  <si>
    <t>Sm</t>
  </si>
  <si>
    <t>also</t>
  </si>
  <si>
    <t>broken in</t>
  </si>
  <si>
    <t>to two peices</t>
  </si>
  <si>
    <t>Medium Injector Tests</t>
  </si>
  <si>
    <t>PSI</t>
  </si>
  <si>
    <t>Low</t>
  </si>
  <si>
    <t>Test Run</t>
  </si>
  <si>
    <t>Gallons</t>
  </si>
  <si>
    <t>FlowPath</t>
  </si>
  <si>
    <t>Time intervals in seconds</t>
  </si>
  <si>
    <t>liters</t>
  </si>
  <si>
    <t>gallons</t>
  </si>
  <si>
    <t>to air</t>
  </si>
  <si>
    <t>High</t>
  </si>
  <si>
    <t>Small injector Tests</t>
  </si>
  <si>
    <t>Below this, Still need to review videos…</t>
  </si>
  <si>
    <t>m^3</t>
  </si>
  <si>
    <t>kg (h20)</t>
  </si>
  <si>
    <t>Flow Rate</t>
  </si>
  <si>
    <t>kg/s</t>
  </si>
  <si>
    <t>gal to m3</t>
  </si>
  <si>
    <t>L to m3</t>
  </si>
  <si>
    <t>pressure</t>
  </si>
  <si>
    <t>annulus</t>
  </si>
  <si>
    <t>pintle</t>
  </si>
  <si>
    <t>psi to pa</t>
  </si>
  <si>
    <t>exit area</t>
  </si>
  <si>
    <t>m^2</t>
  </si>
  <si>
    <t>Exit Velocity</t>
  </si>
  <si>
    <t>m/s</t>
  </si>
  <si>
    <t>Loss coef</t>
  </si>
  <si>
    <t>KL</t>
  </si>
  <si>
    <t>Velocity</t>
  </si>
  <si>
    <t>Annulus KL</t>
  </si>
  <si>
    <t>Pintle KL</t>
  </si>
  <si>
    <t>Total kg/s</t>
  </si>
  <si>
    <t>TMR</t>
  </si>
  <si>
    <t>momentum</t>
  </si>
  <si>
    <t>Momentum Exit area</t>
  </si>
  <si>
    <t>single opening</t>
  </si>
  <si>
    <t>gap</t>
  </si>
  <si>
    <t>pintle orifice dia</t>
  </si>
  <si>
    <t>area</t>
  </si>
  <si>
    <t>ratio</t>
  </si>
  <si>
    <t>Total</t>
  </si>
  <si>
    <t>blockage factor</t>
  </si>
  <si>
    <t>method 3…</t>
  </si>
  <si>
    <t>density lox</t>
  </si>
  <si>
    <t>density fuel</t>
  </si>
  <si>
    <t>IPA</t>
  </si>
  <si>
    <t>LOX</t>
  </si>
  <si>
    <t>Theoretical angle</t>
  </si>
  <si>
    <t>theoretical</t>
  </si>
  <si>
    <t>target</t>
  </si>
  <si>
    <t>With current geometry, experimental KL value, these 'should' be the target pressures for using LOX and IPA to get the mass flow rates, and momentum ratio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</si>
</sst>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0" borderId="0" xfId="0" applyNumberFormat="1"/>
    <xf numFmtId="165" fontId="0" fillId="0" borderId="0" xfId="0" applyNumberFormat="1" applyFill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0" fillId="0" borderId="0" xfId="0" applyFill="1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/>
    <xf numFmtId="0" fontId="0" fillId="7" borderId="0" xfId="0" applyFill="1"/>
    <xf numFmtId="1" fontId="0" fillId="7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/>
    <xf numFmtId="164" fontId="0" fillId="7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6AF2-C968-43EC-BB41-EAA96344CA84}">
  <dimension ref="A2:AM67"/>
  <sheetViews>
    <sheetView tabSelected="1" topLeftCell="A23" workbookViewId="0">
      <selection activeCell="E30" sqref="E30"/>
    </sheetView>
  </sheetViews>
  <sheetFormatPr defaultRowHeight="15" x14ac:dyDescent="0.25"/>
  <cols>
    <col min="5" max="5" width="9.140625" style="1"/>
    <col min="6" max="18" width="6.85546875" style="1" customWidth="1"/>
    <col min="19" max="19" width="5.140625" customWidth="1"/>
    <col min="23" max="23" width="10.140625" customWidth="1"/>
    <col min="29" max="29" width="12" bestFit="1" customWidth="1"/>
    <col min="30" max="35" width="12.42578125" style="1" customWidth="1"/>
    <col min="36" max="38" width="10.5703125" customWidth="1"/>
  </cols>
  <sheetData>
    <row r="2" spans="1:35" x14ac:dyDescent="0.25">
      <c r="AB2" t="s">
        <v>54</v>
      </c>
      <c r="AF2" s="1" t="s">
        <v>61</v>
      </c>
    </row>
    <row r="3" spans="1:35" x14ac:dyDescent="0.25">
      <c r="B3" t="s">
        <v>3</v>
      </c>
      <c r="C3" t="s">
        <v>37</v>
      </c>
      <c r="D3" s="2" t="s">
        <v>6</v>
      </c>
      <c r="E3" s="5">
        <v>0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Y3" s="1" t="s">
        <v>42</v>
      </c>
      <c r="Z3" t="s">
        <v>43</v>
      </c>
      <c r="AC3" s="1" t="s">
        <v>55</v>
      </c>
      <c r="AF3" s="1">
        <v>0.55300000000000005</v>
      </c>
    </row>
    <row r="4" spans="1:35" x14ac:dyDescent="0.25">
      <c r="B4">
        <v>999.7</v>
      </c>
      <c r="C4">
        <v>1E-3</v>
      </c>
      <c r="D4" s="2" t="s">
        <v>32</v>
      </c>
      <c r="E4" s="5">
        <v>0</v>
      </c>
      <c r="F4" s="5">
        <f>F3*$C$4</f>
        <v>2E-3</v>
      </c>
      <c r="G4" s="5">
        <f t="shared" ref="G4:Q4" si="0">G3*$C$4</f>
        <v>3.0000000000000001E-3</v>
      </c>
      <c r="H4" s="5">
        <f t="shared" si="0"/>
        <v>4.0000000000000001E-3</v>
      </c>
      <c r="I4" s="5">
        <f t="shared" si="0"/>
        <v>5.0000000000000001E-3</v>
      </c>
      <c r="J4" s="5">
        <f t="shared" si="0"/>
        <v>6.0000000000000001E-3</v>
      </c>
      <c r="K4" s="5">
        <f t="shared" si="0"/>
        <v>7.0000000000000001E-3</v>
      </c>
      <c r="L4" s="5">
        <f t="shared" si="0"/>
        <v>8.0000000000000002E-3</v>
      </c>
      <c r="M4" s="5">
        <f t="shared" si="0"/>
        <v>9.0000000000000011E-3</v>
      </c>
      <c r="N4" s="5">
        <f t="shared" si="0"/>
        <v>0.01</v>
      </c>
      <c r="O4" s="5">
        <f t="shared" si="0"/>
        <v>1.0999999999999999E-2</v>
      </c>
      <c r="P4" s="5">
        <f t="shared" si="0"/>
        <v>1.2E-2</v>
      </c>
      <c r="Q4" s="5">
        <f t="shared" si="0"/>
        <v>1.3000000000000001E-2</v>
      </c>
      <c r="Y4" s="1" t="s">
        <v>1</v>
      </c>
      <c r="Z4" s="21">
        <v>2.2626E-5</v>
      </c>
      <c r="AB4" t="s">
        <v>40</v>
      </c>
      <c r="AC4" s="1">
        <f>Pintle_Area/12</f>
        <v>1.8855E-6</v>
      </c>
    </row>
    <row r="5" spans="1:35" x14ac:dyDescent="0.25">
      <c r="D5" s="16" t="s">
        <v>33</v>
      </c>
      <c r="E5" s="17">
        <v>0</v>
      </c>
      <c r="F5" s="18">
        <f t="shared" ref="F5:Q5" si="1">F4*$B$4</f>
        <v>1.9994000000000001</v>
      </c>
      <c r="G5" s="18">
        <f t="shared" si="1"/>
        <v>2.9991000000000003</v>
      </c>
      <c r="H5" s="18">
        <f t="shared" si="1"/>
        <v>3.9988000000000001</v>
      </c>
      <c r="I5" s="18">
        <f t="shared" si="1"/>
        <v>4.9984999999999999</v>
      </c>
      <c r="J5" s="18">
        <f t="shared" si="1"/>
        <v>5.9982000000000006</v>
      </c>
      <c r="K5" s="18">
        <f t="shared" si="1"/>
        <v>6.9979000000000005</v>
      </c>
      <c r="L5" s="18">
        <f t="shared" si="1"/>
        <v>7.9976000000000003</v>
      </c>
      <c r="M5" s="18">
        <f t="shared" si="1"/>
        <v>8.997300000000001</v>
      </c>
      <c r="N5" s="18">
        <f t="shared" si="1"/>
        <v>9.9969999999999999</v>
      </c>
      <c r="O5" s="18">
        <f t="shared" si="1"/>
        <v>10.996700000000001</v>
      </c>
      <c r="P5" s="18">
        <f t="shared" si="1"/>
        <v>11.996400000000001</v>
      </c>
      <c r="Q5" s="18">
        <f t="shared" si="1"/>
        <v>12.996100000000002</v>
      </c>
      <c r="R5" s="10"/>
      <c r="Y5" t="s">
        <v>0</v>
      </c>
      <c r="Z5" s="21">
        <v>2.152788E-5</v>
      </c>
      <c r="AC5" t="s">
        <v>56</v>
      </c>
      <c r="AD5" s="1" t="s">
        <v>57</v>
      </c>
      <c r="AE5" s="1" t="s">
        <v>58</v>
      </c>
    </row>
    <row r="6" spans="1:35" x14ac:dyDescent="0.25">
      <c r="C6" t="s">
        <v>36</v>
      </c>
      <c r="D6" s="3" t="s">
        <v>23</v>
      </c>
      <c r="E6" s="4">
        <v>0</v>
      </c>
      <c r="F6" s="12">
        <v>0.5</v>
      </c>
      <c r="G6" s="12">
        <v>0.75</v>
      </c>
      <c r="H6" s="12">
        <v>1</v>
      </c>
      <c r="I6" s="12">
        <v>1.25</v>
      </c>
      <c r="J6" s="12">
        <v>1.5</v>
      </c>
      <c r="K6" s="12">
        <v>1.75</v>
      </c>
      <c r="L6" s="12">
        <v>2</v>
      </c>
      <c r="M6" s="12">
        <v>2.25</v>
      </c>
      <c r="N6" s="12">
        <v>2.5</v>
      </c>
      <c r="O6" s="12">
        <v>2.75</v>
      </c>
      <c r="P6" s="12">
        <v>3</v>
      </c>
      <c r="Q6" s="12">
        <v>3.25</v>
      </c>
      <c r="R6" s="12">
        <v>3.5</v>
      </c>
      <c r="W6" t="s">
        <v>41</v>
      </c>
      <c r="AB6" t="s">
        <v>39</v>
      </c>
      <c r="AC6">
        <v>6.8579999999999997E-4</v>
      </c>
      <c r="AD6" s="1">
        <v>1.5494E-3</v>
      </c>
      <c r="AE6" s="1">
        <f>AD6*AC6</f>
        <v>1.06257852E-6</v>
      </c>
    </row>
    <row r="7" spans="1:35" x14ac:dyDescent="0.25">
      <c r="C7">
        <v>3.7854099999999999E-3</v>
      </c>
      <c r="D7" s="3" t="s">
        <v>32</v>
      </c>
      <c r="E7" s="4">
        <v>0</v>
      </c>
      <c r="F7" s="11">
        <f>F6*$C$7</f>
        <v>1.892705E-3</v>
      </c>
      <c r="G7" s="11">
        <f t="shared" ref="G7:R7" si="2">G6*$C$7</f>
        <v>2.8390575E-3</v>
      </c>
      <c r="H7" s="11">
        <f t="shared" si="2"/>
        <v>3.7854099999999999E-3</v>
      </c>
      <c r="I7" s="11">
        <f t="shared" si="2"/>
        <v>4.7317625000000002E-3</v>
      </c>
      <c r="J7" s="11">
        <f t="shared" si="2"/>
        <v>5.6781150000000001E-3</v>
      </c>
      <c r="K7" s="11">
        <f t="shared" si="2"/>
        <v>6.6244674999999999E-3</v>
      </c>
      <c r="L7" s="11">
        <f t="shared" si="2"/>
        <v>7.5708199999999998E-3</v>
      </c>
      <c r="M7" s="11">
        <f t="shared" si="2"/>
        <v>8.5171724999999997E-3</v>
      </c>
      <c r="N7" s="11">
        <f t="shared" si="2"/>
        <v>9.4635250000000004E-3</v>
      </c>
      <c r="O7" s="11">
        <f t="shared" si="2"/>
        <v>1.0409877499999999E-2</v>
      </c>
      <c r="P7" s="11">
        <f t="shared" si="2"/>
        <v>1.135623E-2</v>
      </c>
      <c r="Q7" s="11">
        <f t="shared" si="2"/>
        <v>1.2302582499999999E-2</v>
      </c>
      <c r="R7" s="11">
        <f t="shared" si="2"/>
        <v>1.3248935E-2</v>
      </c>
      <c r="W7" s="8">
        <f xml:space="preserve"> 0.1450377/1000</f>
        <v>1.4503769999999998E-4</v>
      </c>
    </row>
    <row r="8" spans="1:35" x14ac:dyDescent="0.25">
      <c r="D8" s="13" t="s">
        <v>33</v>
      </c>
      <c r="E8" s="14">
        <v>0</v>
      </c>
      <c r="F8" s="15">
        <f>F7*$B$4</f>
        <v>1.8921371885</v>
      </c>
      <c r="G8" s="15">
        <f t="shared" ref="G8:R8" si="3">G7*$B$4</f>
        <v>2.8382057827500002</v>
      </c>
      <c r="H8" s="15">
        <f t="shared" si="3"/>
        <v>3.784274377</v>
      </c>
      <c r="I8" s="15">
        <f t="shared" si="3"/>
        <v>4.7303429712500007</v>
      </c>
      <c r="J8" s="15">
        <f t="shared" si="3"/>
        <v>5.6764115655000005</v>
      </c>
      <c r="K8" s="15">
        <f t="shared" si="3"/>
        <v>6.6224801597500003</v>
      </c>
      <c r="L8" s="15">
        <f t="shared" si="3"/>
        <v>7.568548754</v>
      </c>
      <c r="M8" s="15">
        <f t="shared" si="3"/>
        <v>8.5146173482500007</v>
      </c>
      <c r="N8" s="15">
        <f t="shared" si="3"/>
        <v>9.4606859425000014</v>
      </c>
      <c r="O8" s="15">
        <f t="shared" si="3"/>
        <v>10.40675453675</v>
      </c>
      <c r="P8" s="15">
        <f t="shared" si="3"/>
        <v>11.352823131000001</v>
      </c>
      <c r="Q8" s="15">
        <f t="shared" si="3"/>
        <v>12.29889172525</v>
      </c>
      <c r="R8" s="15">
        <f t="shared" si="3"/>
        <v>13.244960319500001</v>
      </c>
    </row>
    <row r="9" spans="1:35" s="8" customFormat="1" x14ac:dyDescent="0.25">
      <c r="E9" s="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T9" t="s">
        <v>34</v>
      </c>
      <c r="U9" s="35" t="s">
        <v>38</v>
      </c>
      <c r="V9" s="35"/>
      <c r="W9" s="23" t="s">
        <v>44</v>
      </c>
      <c r="X9" s="23" t="s">
        <v>46</v>
      </c>
      <c r="Z9" s="23"/>
      <c r="AD9" s="9"/>
      <c r="AE9" s="9"/>
      <c r="AF9" s="9"/>
      <c r="AG9" s="9"/>
      <c r="AH9" s="9"/>
      <c r="AI9" s="9"/>
    </row>
    <row r="10" spans="1:35" x14ac:dyDescent="0.25">
      <c r="A10" t="s">
        <v>19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T10" t="s">
        <v>35</v>
      </c>
      <c r="U10" s="1" t="s">
        <v>2</v>
      </c>
      <c r="V10" s="1" t="s">
        <v>4</v>
      </c>
      <c r="W10" s="1" t="s">
        <v>45</v>
      </c>
      <c r="X10" s="1" t="s">
        <v>47</v>
      </c>
      <c r="Z10" s="1"/>
    </row>
    <row r="11" spans="1:35" x14ac:dyDescent="0.25">
      <c r="A11" t="s">
        <v>24</v>
      </c>
      <c r="B11" t="s">
        <v>20</v>
      </c>
      <c r="C11" t="s">
        <v>22</v>
      </c>
      <c r="D11" s="3"/>
      <c r="E11" s="34" t="s">
        <v>25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T11" s="26" t="s">
        <v>39</v>
      </c>
      <c r="U11" s="26"/>
      <c r="V11" s="26"/>
      <c r="W11" s="26"/>
      <c r="X11" s="26"/>
      <c r="Z11" s="1"/>
    </row>
    <row r="12" spans="1:35" x14ac:dyDescent="0.25">
      <c r="A12" t="s">
        <v>0</v>
      </c>
      <c r="B12" t="s">
        <v>21</v>
      </c>
      <c r="C12" s="1">
        <v>1</v>
      </c>
      <c r="D12" s="3" t="s">
        <v>23</v>
      </c>
      <c r="E12" s="4">
        <v>0</v>
      </c>
      <c r="F12" s="4">
        <v>6</v>
      </c>
      <c r="G12" s="4">
        <v>10.3</v>
      </c>
      <c r="H12" s="4">
        <v>14.1</v>
      </c>
      <c r="I12" s="4">
        <v>17.2</v>
      </c>
      <c r="J12" s="4">
        <v>21</v>
      </c>
      <c r="K12" s="4">
        <v>24.4</v>
      </c>
      <c r="L12" s="4">
        <v>27.3</v>
      </c>
      <c r="M12" s="4">
        <v>31.3</v>
      </c>
      <c r="N12" s="4">
        <v>34.799999999999997</v>
      </c>
      <c r="T12" s="19">
        <f>SLOPE($E$8:$N$8,E12:N12)</f>
        <v>0.26985648095146064</v>
      </c>
      <c r="U12" s="1">
        <v>16.100000000000001</v>
      </c>
      <c r="V12" s="1">
        <f>U12/$W$7</f>
        <v>111005.62129708347</v>
      </c>
      <c r="W12" s="22">
        <f>T12/(Density_h20*Annulus_area)</f>
        <v>12.538970961846575</v>
      </c>
      <c r="X12" s="10">
        <f>(2*V12)/(Density_h20*W12^2)</f>
        <v>1.4124773170126641</v>
      </c>
    </row>
    <row r="13" spans="1:35" x14ac:dyDescent="0.25">
      <c r="A13" t="s">
        <v>0</v>
      </c>
      <c r="B13" t="s">
        <v>21</v>
      </c>
      <c r="C13" s="1">
        <v>2</v>
      </c>
      <c r="D13" s="3" t="s">
        <v>23</v>
      </c>
      <c r="E13" s="4">
        <v>0</v>
      </c>
      <c r="F13" s="4">
        <v>6</v>
      </c>
      <c r="G13" s="4">
        <v>9.4</v>
      </c>
      <c r="H13" s="4">
        <v>12.2</v>
      </c>
      <c r="I13" s="4">
        <v>15.3</v>
      </c>
      <c r="J13" s="4">
        <v>18.3</v>
      </c>
      <c r="K13" s="4">
        <v>21.3</v>
      </c>
      <c r="L13" s="4">
        <v>24</v>
      </c>
      <c r="M13" s="4">
        <v>27.3</v>
      </c>
      <c r="N13" s="4">
        <v>31</v>
      </c>
      <c r="T13" s="19">
        <f>SLOPE($E$8:$N$8,E13:N13)</f>
        <v>0.30960832505133629</v>
      </c>
      <c r="U13" s="1">
        <v>19.2</v>
      </c>
      <c r="V13" s="1">
        <f>U13/$W$7</f>
        <v>132379.37446608712</v>
      </c>
      <c r="W13" s="22">
        <f>T13/(Density_h20*Annulus_area)</f>
        <v>14.386053592920568</v>
      </c>
      <c r="X13" s="10">
        <f>(2*V13)/(Density_h20*W13^2)</f>
        <v>1.2796679130964617</v>
      </c>
    </row>
    <row r="14" spans="1:35" x14ac:dyDescent="0.25">
      <c r="A14" t="s">
        <v>0</v>
      </c>
      <c r="B14" t="s">
        <v>21</v>
      </c>
      <c r="C14" s="1">
        <v>3</v>
      </c>
      <c r="D14" s="3" t="s">
        <v>23</v>
      </c>
      <c r="E14" s="4">
        <v>0</v>
      </c>
      <c r="F14" s="4">
        <v>4.9000000000000004</v>
      </c>
      <c r="G14" s="4">
        <v>7.8</v>
      </c>
      <c r="H14" s="4">
        <v>10.7</v>
      </c>
      <c r="I14" s="4">
        <v>13.8</v>
      </c>
      <c r="J14" s="4">
        <v>17.5</v>
      </c>
      <c r="K14" s="4">
        <v>20.2</v>
      </c>
      <c r="L14" s="4">
        <v>23.6</v>
      </c>
      <c r="M14" s="4">
        <v>26.6</v>
      </c>
      <c r="N14" s="4">
        <v>29.4</v>
      </c>
      <c r="T14" s="19">
        <f>SLOPE($E$8:$N$8,E14:N14)</f>
        <v>0.31236452211960286</v>
      </c>
      <c r="U14" s="1">
        <v>18.899999999999999</v>
      </c>
      <c r="V14" s="1">
        <f>U14/$W$7</f>
        <v>130310.94674005448</v>
      </c>
      <c r="W14" s="22">
        <f>T14/(Density_h20*Annulus_area)</f>
        <v>14.514121204572028</v>
      </c>
      <c r="X14" s="10">
        <f>(2*V14)/(Density_h20*W14^2)</f>
        <v>1.2375413321274686</v>
      </c>
    </row>
    <row r="15" spans="1:35" x14ac:dyDescent="0.25">
      <c r="C15" s="1"/>
      <c r="T15" s="25" t="s">
        <v>39</v>
      </c>
      <c r="U15" s="25"/>
      <c r="V15" s="25"/>
      <c r="W15" s="25"/>
      <c r="X15" s="25"/>
      <c r="Y15" t="s">
        <v>49</v>
      </c>
      <c r="Z15" s="27">
        <f>AVERAGE(X12:X18)</f>
        <v>1.3004532412336933</v>
      </c>
    </row>
    <row r="16" spans="1:35" x14ac:dyDescent="0.25">
      <c r="A16" t="s">
        <v>0</v>
      </c>
      <c r="B16" t="s">
        <v>29</v>
      </c>
      <c r="C16" s="1">
        <v>1</v>
      </c>
      <c r="D16" s="3" t="s">
        <v>27</v>
      </c>
      <c r="E16" s="4">
        <v>0</v>
      </c>
      <c r="F16" s="4">
        <v>6.1</v>
      </c>
      <c r="G16" s="4">
        <v>9.1999999999999993</v>
      </c>
      <c r="H16" s="4">
        <v>11.7</v>
      </c>
      <c r="I16" s="4">
        <v>14.5</v>
      </c>
      <c r="J16" s="4">
        <v>18.100000000000001</v>
      </c>
      <c r="K16" s="4">
        <v>20.399999999999999</v>
      </c>
      <c r="L16" s="4">
        <v>22.6</v>
      </c>
      <c r="M16" s="4">
        <v>25</v>
      </c>
      <c r="N16" s="4">
        <v>28</v>
      </c>
      <c r="T16" s="19">
        <f>SLOPE($E$8:$N$8,E16:N16)</f>
        <v>0.34053383860707442</v>
      </c>
      <c r="U16" s="1">
        <v>25.9</v>
      </c>
      <c r="V16" s="1">
        <f>U16/$W$7</f>
        <v>178574.26034748208</v>
      </c>
      <c r="W16" s="22">
        <f>T16/(Density_h20*Annulus_area)</f>
        <v>15.823017845505417</v>
      </c>
      <c r="X16" s="10">
        <f>(2*V16)/(Density_h20*W16^2)</f>
        <v>1.4269229655155038</v>
      </c>
    </row>
    <row r="17" spans="1:39" x14ac:dyDescent="0.25">
      <c r="A17" t="s">
        <v>0</v>
      </c>
      <c r="B17" t="s">
        <v>29</v>
      </c>
      <c r="C17" s="1">
        <v>2</v>
      </c>
      <c r="D17" s="3" t="s">
        <v>27</v>
      </c>
      <c r="E17" s="4">
        <v>0</v>
      </c>
      <c r="F17" s="4">
        <v>4.0999999999999996</v>
      </c>
      <c r="G17" s="4">
        <v>8</v>
      </c>
      <c r="H17" s="4">
        <v>10.9</v>
      </c>
      <c r="I17" s="4">
        <v>14.4</v>
      </c>
      <c r="J17" s="4">
        <v>16.899999999999999</v>
      </c>
      <c r="K17" s="4">
        <v>19.399999999999999</v>
      </c>
      <c r="L17" s="4">
        <v>22</v>
      </c>
      <c r="M17" s="4">
        <v>24.8</v>
      </c>
      <c r="N17" s="4">
        <v>27.3</v>
      </c>
      <c r="T17" s="19">
        <f>SLOPE($E$8:$N$8,E17:N17)</f>
        <v>0.33631832693687946</v>
      </c>
      <c r="U17" s="1">
        <v>23.9</v>
      </c>
      <c r="V17" s="1">
        <f>U17/$W$7</f>
        <v>164784.74217393133</v>
      </c>
      <c r="W17" s="22">
        <f>T17/(Density_h20*Annulus_area)</f>
        <v>15.627142696479785</v>
      </c>
      <c r="X17" s="10">
        <f>(2*V17)/(Density_h20*W17^2)</f>
        <v>1.3499514343820151</v>
      </c>
    </row>
    <row r="18" spans="1:39" x14ac:dyDescent="0.25">
      <c r="A18" t="s">
        <v>0</v>
      </c>
      <c r="B18" t="s">
        <v>29</v>
      </c>
      <c r="C18" s="1">
        <v>3</v>
      </c>
      <c r="D18" s="3" t="s">
        <v>27</v>
      </c>
      <c r="E18" s="4">
        <v>0</v>
      </c>
      <c r="F18" s="4">
        <v>5.7</v>
      </c>
      <c r="G18" s="4">
        <v>8.5</v>
      </c>
      <c r="H18" s="4">
        <v>11.9</v>
      </c>
      <c r="I18" s="4">
        <v>15.3</v>
      </c>
      <c r="J18" s="4">
        <v>18.399999999999999</v>
      </c>
      <c r="K18" s="4">
        <v>21.2</v>
      </c>
      <c r="L18" s="4">
        <v>24.2</v>
      </c>
      <c r="M18" s="4">
        <v>27.9</v>
      </c>
      <c r="N18" s="4">
        <v>30.1</v>
      </c>
      <c r="T18" s="19">
        <f>SLOPE($E$8:$N$8,E18:N18)</f>
        <v>0.3072780145470051</v>
      </c>
      <c r="U18" s="1">
        <v>16.2</v>
      </c>
      <c r="V18" s="1">
        <f>U18/$W$7</f>
        <v>111695.09720576099</v>
      </c>
      <c r="W18" s="22">
        <f>T18/(Density_h20*Annulus_area)</f>
        <v>14.277774941828433</v>
      </c>
      <c r="X18" s="10">
        <f>(2*V18)/(Density_h20*W18^2)</f>
        <v>1.0961584852680459</v>
      </c>
    </row>
    <row r="19" spans="1:39" x14ac:dyDescent="0.25">
      <c r="C19" s="1"/>
      <c r="T19" s="25" t="s">
        <v>40</v>
      </c>
      <c r="U19" s="25"/>
      <c r="V19" s="25"/>
      <c r="W19" s="25"/>
      <c r="X19" s="25"/>
    </row>
    <row r="20" spans="1:39" x14ac:dyDescent="0.25">
      <c r="A20" t="s">
        <v>1</v>
      </c>
      <c r="B20" t="s">
        <v>21</v>
      </c>
      <c r="C20" s="1">
        <v>1</v>
      </c>
      <c r="D20" s="6" t="s">
        <v>26</v>
      </c>
      <c r="E20" s="7">
        <v>0</v>
      </c>
      <c r="F20" s="7">
        <v>9.9</v>
      </c>
      <c r="G20" s="7">
        <v>14.7</v>
      </c>
      <c r="H20" s="7">
        <v>19.100000000000001</v>
      </c>
      <c r="I20" s="7">
        <v>24.1</v>
      </c>
      <c r="J20" s="7">
        <v>29</v>
      </c>
      <c r="K20" s="7">
        <v>34.5</v>
      </c>
      <c r="L20" s="7">
        <v>37.9</v>
      </c>
      <c r="M20" s="7">
        <v>43.5</v>
      </c>
      <c r="N20" s="7">
        <v>46.4</v>
      </c>
      <c r="T20" s="19">
        <f>SLOPE(E5:N5,E20:N20)</f>
        <v>0.21159002461505291</v>
      </c>
      <c r="U20" s="1">
        <v>14.1</v>
      </c>
      <c r="V20" s="1">
        <f>U20/$W$7</f>
        <v>97216.103123532725</v>
      </c>
      <c r="W20">
        <f>T20/(Density_h20*Pintle_Area)</f>
        <v>9.3544382865400095</v>
      </c>
      <c r="X20" s="10">
        <f>(2*V20)/(Density_h20*W20^2)</f>
        <v>2.2226090773082592</v>
      </c>
    </row>
    <row r="21" spans="1:39" x14ac:dyDescent="0.25">
      <c r="A21" t="s">
        <v>1</v>
      </c>
      <c r="B21" t="s">
        <v>21</v>
      </c>
      <c r="C21" s="1">
        <v>2</v>
      </c>
      <c r="D21" s="3" t="s">
        <v>27</v>
      </c>
      <c r="E21" s="4">
        <v>0</v>
      </c>
      <c r="F21" s="4">
        <v>10.7</v>
      </c>
      <c r="G21" s="4">
        <v>15.799999999999999</v>
      </c>
      <c r="H21" s="4">
        <v>21.4</v>
      </c>
      <c r="I21" s="4">
        <v>26.299999999999997</v>
      </c>
      <c r="J21" s="4">
        <v>31.9</v>
      </c>
      <c r="K21" s="4">
        <v>36.6</v>
      </c>
      <c r="L21" s="4">
        <v>41.7</v>
      </c>
      <c r="M21" s="4">
        <v>46.2</v>
      </c>
      <c r="N21" s="4">
        <v>49.7</v>
      </c>
      <c r="O21" s="4">
        <v>55.400000000000006</v>
      </c>
      <c r="P21" s="4">
        <v>60.300000000000004</v>
      </c>
      <c r="T21" s="19">
        <f>SLOPE($E$8:$P$8,E21:P21)</f>
        <v>0.18960082975516146</v>
      </c>
      <c r="U21" s="1">
        <v>12.6</v>
      </c>
      <c r="V21" s="1">
        <f>U21/$W$7</f>
        <v>86873.964493369669</v>
      </c>
      <c r="W21">
        <f>T21/(Density_h20*Pintle_Area)</f>
        <v>8.3822914820685686</v>
      </c>
      <c r="X21" s="10">
        <f>(2*V21)/(Density_h20*W21^2)</f>
        <v>2.4735712647203112</v>
      </c>
    </row>
    <row r="22" spans="1:39" x14ac:dyDescent="0.25">
      <c r="A22" t="s">
        <v>1</v>
      </c>
      <c r="B22" t="s">
        <v>21</v>
      </c>
      <c r="C22" s="1">
        <v>3</v>
      </c>
      <c r="D22" s="3" t="s">
        <v>27</v>
      </c>
      <c r="E22" s="4">
        <v>0</v>
      </c>
      <c r="F22" s="4">
        <v>9.6</v>
      </c>
      <c r="G22" s="4">
        <v>14.2</v>
      </c>
      <c r="H22" s="4">
        <v>17.7</v>
      </c>
      <c r="I22" s="4">
        <v>22.5</v>
      </c>
      <c r="J22" s="4">
        <v>27</v>
      </c>
      <c r="K22" s="4">
        <v>31.4</v>
      </c>
      <c r="L22" s="4">
        <v>35.1</v>
      </c>
      <c r="M22" s="4">
        <v>39.700000000000003</v>
      </c>
      <c r="N22" s="4">
        <v>43.800000000000004</v>
      </c>
      <c r="O22" s="4">
        <v>48.900000000000006</v>
      </c>
      <c r="P22" s="4">
        <v>53.2</v>
      </c>
      <c r="T22" s="19">
        <f>SLOPE($E$8:$P$8,E22:P22)</f>
        <v>0.21614442859013261</v>
      </c>
      <c r="U22" s="1">
        <v>16.899999999999999</v>
      </c>
      <c r="V22" s="1">
        <f>U22/$W$7</f>
        <v>116521.42856650375</v>
      </c>
      <c r="W22">
        <f>T22/(Density_h20*Pintle_Area)</f>
        <v>9.5557894182597831</v>
      </c>
      <c r="X22" s="10">
        <f>(2*V22)/(Density_h20*W22^2)</f>
        <v>2.5528950594345914</v>
      </c>
    </row>
    <row r="23" spans="1:39" x14ac:dyDescent="0.25">
      <c r="C23" s="1"/>
      <c r="T23" s="25" t="s">
        <v>40</v>
      </c>
      <c r="U23" s="25"/>
      <c r="V23" s="25"/>
      <c r="W23" s="25"/>
      <c r="X23" s="25"/>
      <c r="Y23" t="s">
        <v>50</v>
      </c>
      <c r="Z23" s="27">
        <f>AVERAGE(X20:X27)</f>
        <v>2.5145416329988741</v>
      </c>
    </row>
    <row r="24" spans="1:39" x14ac:dyDescent="0.25">
      <c r="A24" t="s">
        <v>1</v>
      </c>
      <c r="B24" t="s">
        <v>29</v>
      </c>
      <c r="C24" s="1">
        <v>1</v>
      </c>
      <c r="D24" s="3" t="s">
        <v>27</v>
      </c>
      <c r="E24" s="4">
        <v>0</v>
      </c>
      <c r="F24" s="4">
        <v>6</v>
      </c>
      <c r="G24" s="4">
        <v>9.5</v>
      </c>
      <c r="H24" s="4">
        <v>12.7</v>
      </c>
      <c r="I24" s="4">
        <v>15.899999999999999</v>
      </c>
      <c r="J24" s="4">
        <v>19</v>
      </c>
      <c r="K24" s="4">
        <v>21.7</v>
      </c>
      <c r="L24" s="4">
        <v>24.5</v>
      </c>
      <c r="M24" s="4">
        <v>27.6</v>
      </c>
      <c r="N24" s="4">
        <v>29.900000000000002</v>
      </c>
      <c r="O24" s="4">
        <v>33.400000000000006</v>
      </c>
      <c r="P24" s="4">
        <v>36.300000000000004</v>
      </c>
      <c r="T24" s="19">
        <f>SLOPE($E$8:$P$8,E24:P24)</f>
        <v>0.31449734024459758</v>
      </c>
      <c r="U24" s="1">
        <v>36.6</v>
      </c>
      <c r="V24" s="1">
        <f>U24/$W$7</f>
        <v>252348.18257597857</v>
      </c>
      <c r="W24">
        <f>T24/(Density_h20*Pintle_Area)</f>
        <v>13.90399176875831</v>
      </c>
      <c r="X24" s="10">
        <f>(2*V24)/(Density_h20*W24^2)</f>
        <v>2.6114485915684851</v>
      </c>
      <c r="Y24" s="22"/>
    </row>
    <row r="25" spans="1:39" x14ac:dyDescent="0.25">
      <c r="A25" t="s">
        <v>1</v>
      </c>
      <c r="B25" t="s">
        <v>29</v>
      </c>
      <c r="C25" s="1">
        <v>2</v>
      </c>
      <c r="D25" s="3" t="s">
        <v>27</v>
      </c>
      <c r="E25" s="4">
        <v>0</v>
      </c>
      <c r="F25" s="4">
        <v>7</v>
      </c>
      <c r="G25" s="4">
        <v>10</v>
      </c>
      <c r="H25" s="4">
        <v>12.6</v>
      </c>
      <c r="I25" s="4">
        <v>15.6</v>
      </c>
      <c r="J25" s="4">
        <v>18.5</v>
      </c>
      <c r="K25" s="4">
        <v>21.8</v>
      </c>
      <c r="L25" s="4">
        <v>24.5</v>
      </c>
      <c r="M25" s="4">
        <v>26.6</v>
      </c>
      <c r="N25" s="4">
        <v>29.6</v>
      </c>
      <c r="O25" s="4">
        <v>33.1</v>
      </c>
      <c r="P25" s="4">
        <v>36.300000000000004</v>
      </c>
      <c r="T25" s="19">
        <f>SLOPE($E$8:$P$8,E25:P25)</f>
        <v>0.32141108728250595</v>
      </c>
      <c r="U25" s="1">
        <v>36.9</v>
      </c>
      <c r="V25" s="1">
        <f>U25/$W$7</f>
        <v>254416.61030201116</v>
      </c>
      <c r="W25">
        <f>T25/(Density_h20*Pintle_Area)</f>
        <v>14.209649940085265</v>
      </c>
      <c r="X25" s="10">
        <f>(2*V25)/(Density_h20*W25^2)</f>
        <v>2.5208035831069133</v>
      </c>
      <c r="Y25" s="22"/>
    </row>
    <row r="26" spans="1:39" x14ac:dyDescent="0.25">
      <c r="A26" t="s">
        <v>1</v>
      </c>
      <c r="B26" t="s">
        <v>29</v>
      </c>
      <c r="C26" s="1" t="s">
        <v>7</v>
      </c>
      <c r="D26" s="3" t="s">
        <v>27</v>
      </c>
      <c r="E26" s="4">
        <v>0</v>
      </c>
      <c r="F26" s="4">
        <v>6.9</v>
      </c>
      <c r="G26" s="4">
        <v>9.6999999999999993</v>
      </c>
      <c r="H26" s="4">
        <v>13.399999999999999</v>
      </c>
      <c r="I26" s="4">
        <v>16.7</v>
      </c>
      <c r="J26" s="4">
        <v>19.3</v>
      </c>
      <c r="K26" s="4">
        <v>22.1</v>
      </c>
      <c r="L26" s="4">
        <v>24.6</v>
      </c>
      <c r="M26" s="4">
        <v>27.700000000000003</v>
      </c>
      <c r="N26" s="4">
        <v>30.000000000000004</v>
      </c>
      <c r="O26" s="4">
        <v>33.5</v>
      </c>
      <c r="P26" s="4">
        <v>36.4</v>
      </c>
      <c r="T26" s="19">
        <f>SLOPE($E$8:$P$8,E26:P26)</f>
        <v>0.31794192064392646</v>
      </c>
      <c r="U26" s="1">
        <v>36.9</v>
      </c>
      <c r="V26" s="1">
        <f>U26/$W$7</f>
        <v>254416.61030201116</v>
      </c>
      <c r="W26">
        <f>T26/(Density_h20*Pintle_Area)</f>
        <v>14.056277373087575</v>
      </c>
      <c r="X26" s="10">
        <f>(2*V26)/(Density_h20*W26^2)</f>
        <v>2.5761143009166725</v>
      </c>
      <c r="Y26" s="22"/>
    </row>
    <row r="27" spans="1:39" x14ac:dyDescent="0.25">
      <c r="A27" t="s">
        <v>1</v>
      </c>
      <c r="B27" t="s">
        <v>29</v>
      </c>
      <c r="C27" s="1">
        <v>3</v>
      </c>
      <c r="D27" s="3" t="s">
        <v>27</v>
      </c>
      <c r="E27" s="4">
        <v>0</v>
      </c>
      <c r="F27" s="4">
        <v>6.6</v>
      </c>
      <c r="G27" s="4">
        <v>9.8000000000000007</v>
      </c>
      <c r="H27" s="4">
        <v>13.4</v>
      </c>
      <c r="I27" s="4">
        <v>16.7</v>
      </c>
      <c r="J27" s="4">
        <v>19.7</v>
      </c>
      <c r="K27" s="4">
        <v>22.5</v>
      </c>
      <c r="L27" s="4">
        <v>25.3</v>
      </c>
      <c r="M27" s="4">
        <v>27.7</v>
      </c>
      <c r="N27" s="4">
        <v>30.5</v>
      </c>
      <c r="O27" s="4">
        <v>33.700000000000003</v>
      </c>
      <c r="P27" s="4">
        <v>36.6</v>
      </c>
      <c r="T27" s="19">
        <f>SLOPE($E$8:$P$8,E27:P27)</f>
        <v>0.31381299655210543</v>
      </c>
      <c r="U27" s="1">
        <v>36.9</v>
      </c>
      <c r="V27" s="1">
        <f>U27/$W$7</f>
        <v>254416.61030201116</v>
      </c>
      <c r="W27">
        <f>T27/(Density_h20*Pintle_Area)</f>
        <v>13.873736794073906</v>
      </c>
      <c r="X27" s="10">
        <f>(2*V27)/(Density_h20*W27^2)</f>
        <v>2.6443495539368849</v>
      </c>
      <c r="Y27" s="22"/>
      <c r="AD27" s="33" t="s">
        <v>62</v>
      </c>
      <c r="AE27" s="33"/>
      <c r="AF27" s="33"/>
      <c r="AG27"/>
      <c r="AH27"/>
      <c r="AI27"/>
      <c r="AK27" t="s">
        <v>65</v>
      </c>
      <c r="AL27" t="s">
        <v>66</v>
      </c>
    </row>
    <row r="28" spans="1:39" x14ac:dyDescent="0.25">
      <c r="A28" s="8"/>
      <c r="B28" s="8"/>
      <c r="C28" s="9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T28" s="19"/>
      <c r="U28" s="1" t="s">
        <v>39</v>
      </c>
      <c r="V28" s="1" t="s">
        <v>40</v>
      </c>
      <c r="W28" s="1" t="s">
        <v>39</v>
      </c>
      <c r="X28" s="1" t="s">
        <v>40</v>
      </c>
      <c r="Y28" s="1" t="s">
        <v>39</v>
      </c>
      <c r="Z28" s="1" t="s">
        <v>40</v>
      </c>
      <c r="AA28" s="1" t="s">
        <v>39</v>
      </c>
      <c r="AB28" s="1" t="s">
        <v>40</v>
      </c>
      <c r="AC28" s="1" t="s">
        <v>60</v>
      </c>
      <c r="AD28" s="24" t="s">
        <v>39</v>
      </c>
      <c r="AE28" s="24" t="s">
        <v>40</v>
      </c>
      <c r="AF28" s="24" t="s">
        <v>52</v>
      </c>
      <c r="AG28" s="24" t="s">
        <v>67</v>
      </c>
      <c r="AH28"/>
      <c r="AI28"/>
      <c r="AK28" s="24" t="s">
        <v>39</v>
      </c>
      <c r="AL28" s="24" t="s">
        <v>40</v>
      </c>
      <c r="AM28" s="24" t="s">
        <v>52</v>
      </c>
    </row>
    <row r="29" spans="1:39" x14ac:dyDescent="0.25">
      <c r="C29" s="1"/>
      <c r="E29" s="9"/>
      <c r="T29" s="19"/>
      <c r="U29" s="1" t="s">
        <v>2</v>
      </c>
      <c r="V29" s="1" t="s">
        <v>2</v>
      </c>
      <c r="W29" s="1" t="s">
        <v>4</v>
      </c>
      <c r="X29" s="1" t="s">
        <v>4</v>
      </c>
      <c r="Y29" s="1" t="s">
        <v>48</v>
      </c>
      <c r="Z29" s="1" t="s">
        <v>48</v>
      </c>
      <c r="AA29" s="1" t="s">
        <v>35</v>
      </c>
      <c r="AB29" s="1" t="s">
        <v>35</v>
      </c>
      <c r="AC29" s="1" t="s">
        <v>51</v>
      </c>
      <c r="AD29" s="24" t="s">
        <v>53</v>
      </c>
      <c r="AE29" s="24" t="s">
        <v>53</v>
      </c>
      <c r="AF29" s="24" t="s">
        <v>59</v>
      </c>
      <c r="AG29"/>
      <c r="AH29"/>
      <c r="AI29"/>
      <c r="AK29" s="24" t="s">
        <v>53</v>
      </c>
      <c r="AL29" s="24" t="s">
        <v>53</v>
      </c>
      <c r="AM29" s="24" t="s">
        <v>59</v>
      </c>
    </row>
    <row r="30" spans="1:39" x14ac:dyDescent="0.25">
      <c r="A30" t="s">
        <v>8</v>
      </c>
      <c r="B30" t="s">
        <v>29</v>
      </c>
      <c r="C30" s="1">
        <v>1</v>
      </c>
      <c r="D30" s="3" t="s">
        <v>27</v>
      </c>
      <c r="E30" s="4">
        <v>0</v>
      </c>
      <c r="F30" s="4"/>
      <c r="G30" s="4">
        <v>9.4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29</v>
      </c>
      <c r="T30" s="19">
        <f>SLOPE(E8:R8,E30:R30)</f>
        <v>0.46802132631680521</v>
      </c>
      <c r="U30" s="1">
        <v>26.2</v>
      </c>
      <c r="V30" s="1">
        <v>6.3</v>
      </c>
      <c r="W30" s="1">
        <f t="shared" ref="W30:X32" si="4">U30/$W$7</f>
        <v>180642.6880735147</v>
      </c>
      <c r="X30" s="1">
        <f t="shared" si="4"/>
        <v>43436.982246684835</v>
      </c>
      <c r="Y30" s="22">
        <f t="shared" ref="Y30:Y38" si="5">SQRT((2*W30)/(kl_annulus*Density_h20))</f>
        <v>16.670283078667804</v>
      </c>
      <c r="Z30" s="22">
        <f t="shared" ref="Z30:Z38" si="6">SQRT((2*X30)/(kl_pintle*Density_h20))</f>
        <v>5.8786899991591568</v>
      </c>
      <c r="AA30" s="19">
        <f t="shared" ref="AA30:AA38" si="7">Y30*Density_h20*Annulus_area</f>
        <v>0.35876819092748596</v>
      </c>
      <c r="AB30" s="19">
        <f t="shared" ref="AB30:AB38" si="8">Z30*Density_h20*Pintle_Area</f>
        <v>0.13297133654899879</v>
      </c>
      <c r="AC30" s="19">
        <f t="shared" ref="AC30:AC38" si="9">AB30+AA30</f>
        <v>0.49173952747648475</v>
      </c>
      <c r="AD30">
        <f t="shared" ref="AD30:AD38" si="10">(blockage_factor*AA30)*Y30</f>
        <v>3.3073643182176498</v>
      </c>
      <c r="AE30">
        <f t="shared" ref="AE30:AE38" si="11">AB30*Z30</f>
        <v>0.78169726634542558</v>
      </c>
      <c r="AF30">
        <f t="shared" ref="AF30:AF38" si="12">AD30/AE30</f>
        <v>4.2310040735848666</v>
      </c>
      <c r="AG30">
        <f t="shared" ref="AG30:AG38" si="13">ATAN(AE30/AD30)*180/PI()</f>
        <v>13.297858414298471</v>
      </c>
      <c r="AJ30" s="1"/>
      <c r="AK30">
        <f>density_IPA*Y30^2*annulus_area2</f>
        <v>0.25920451269595762</v>
      </c>
      <c r="AL30">
        <f>density_LOX*Z30^2*pintle_area2</f>
        <v>7.4348686347581835E-2</v>
      </c>
      <c r="AM30">
        <f>AK30/AL30</f>
        <v>3.4863361470056176</v>
      </c>
    </row>
    <row r="31" spans="1:39" x14ac:dyDescent="0.25">
      <c r="A31" t="s">
        <v>8</v>
      </c>
      <c r="B31" t="s">
        <v>29</v>
      </c>
      <c r="C31" s="1">
        <v>2</v>
      </c>
      <c r="D31" s="3" t="s">
        <v>27</v>
      </c>
      <c r="E31" s="4">
        <v>0</v>
      </c>
      <c r="F31" s="4">
        <v>3.1</v>
      </c>
      <c r="G31" s="4">
        <v>5.0999999999999996</v>
      </c>
      <c r="H31" s="4">
        <v>6.8999999999999995</v>
      </c>
      <c r="I31" s="4">
        <v>8.2999999999999989</v>
      </c>
      <c r="J31" s="4">
        <v>10.799999999999999</v>
      </c>
      <c r="K31" s="4">
        <v>13.5</v>
      </c>
      <c r="L31" s="4">
        <v>15.2</v>
      </c>
      <c r="M31" s="4">
        <v>16.599999999999998</v>
      </c>
      <c r="N31" s="4">
        <v>17.799999999999997</v>
      </c>
      <c r="O31" s="4">
        <v>19.099999999999998</v>
      </c>
      <c r="P31" s="4">
        <v>20.9</v>
      </c>
      <c r="T31" s="19">
        <f>SLOPE($E$8:$P$8,E31:P31)</f>
        <v>0.52215563380049257</v>
      </c>
      <c r="U31" s="1">
        <v>34</v>
      </c>
      <c r="V31" s="1">
        <v>6.1</v>
      </c>
      <c r="W31" s="1">
        <f t="shared" si="4"/>
        <v>234421.80895036258</v>
      </c>
      <c r="X31" s="1">
        <f t="shared" si="4"/>
        <v>42058.030429329759</v>
      </c>
      <c r="Y31" s="22">
        <f t="shared" si="5"/>
        <v>18.990298336054028</v>
      </c>
      <c r="Z31" s="22">
        <f t="shared" si="6"/>
        <v>5.7846248900611554</v>
      </c>
      <c r="AA31" s="19">
        <f t="shared" si="7"/>
        <v>0.40869821748364793</v>
      </c>
      <c r="AB31" s="19">
        <f t="shared" si="8"/>
        <v>0.13084365788569496</v>
      </c>
      <c r="AC31" s="19">
        <f t="shared" si="9"/>
        <v>0.53954187536934284</v>
      </c>
      <c r="AD31">
        <f t="shared" si="10"/>
        <v>4.2919994969236663</v>
      </c>
      <c r="AE31">
        <f t="shared" si="11"/>
        <v>0.75688148011223766</v>
      </c>
      <c r="AF31">
        <f t="shared" si="12"/>
        <v>5.6706361692020888</v>
      </c>
      <c r="AG31">
        <f t="shared" si="13"/>
        <v>10.001115599938339</v>
      </c>
      <c r="AH31" s="1" t="s">
        <v>63</v>
      </c>
      <c r="AI31" s="1">
        <v>1141</v>
      </c>
      <c r="AJ31" s="1"/>
      <c r="AK31">
        <f>density_IPA*Y31^2*annulus_area2</f>
        <v>0.33637226838406697</v>
      </c>
      <c r="AL31">
        <f>density_LOX*Z31^2*pintle_area2</f>
        <v>7.1988410590515736E-2</v>
      </c>
      <c r="AM31">
        <f>AK31/AL31</f>
        <v>4.6725891796308536</v>
      </c>
    </row>
    <row r="32" spans="1:39" x14ac:dyDescent="0.25">
      <c r="A32" t="s">
        <v>8</v>
      </c>
      <c r="B32" t="s">
        <v>29</v>
      </c>
      <c r="C32" s="1">
        <v>3</v>
      </c>
      <c r="D32" s="3" t="s">
        <v>27</v>
      </c>
      <c r="E32" s="4">
        <v>0</v>
      </c>
      <c r="F32" s="4">
        <v>4.2</v>
      </c>
      <c r="G32" s="4">
        <v>5.8000000000000007</v>
      </c>
      <c r="H32" s="4">
        <v>7.6000000000000005</v>
      </c>
      <c r="I32" s="4">
        <v>10.200000000000001</v>
      </c>
      <c r="J32" s="4">
        <v>12.100000000000001</v>
      </c>
      <c r="K32" s="4">
        <v>13.8</v>
      </c>
      <c r="L32" s="4">
        <v>15.5</v>
      </c>
      <c r="M32" s="4">
        <v>17.5</v>
      </c>
      <c r="N32" s="4">
        <v>19.600000000000001</v>
      </c>
      <c r="O32" s="4">
        <v>21.6</v>
      </c>
      <c r="P32" s="4">
        <v>23.6</v>
      </c>
      <c r="T32" s="19">
        <f>SLOPE($E$8:$P$8,E32:P32)</f>
        <v>0.48401389007890933</v>
      </c>
      <c r="U32" s="1">
        <v>28.6</v>
      </c>
      <c r="V32" s="1">
        <v>4.9000000000000004</v>
      </c>
      <c r="W32" s="1">
        <f t="shared" si="4"/>
        <v>197190.1098817756</v>
      </c>
      <c r="X32" s="1">
        <f t="shared" si="4"/>
        <v>33784.319525199317</v>
      </c>
      <c r="Y32" s="22">
        <f t="shared" si="5"/>
        <v>17.417079956789561</v>
      </c>
      <c r="Z32" s="22">
        <f t="shared" si="6"/>
        <v>5.1845172575392118</v>
      </c>
      <c r="AA32" s="19">
        <f t="shared" si="7"/>
        <v>0.37484032141799278</v>
      </c>
      <c r="AB32" s="19">
        <f t="shared" si="8"/>
        <v>0.11726969600284147</v>
      </c>
      <c r="AC32" s="19">
        <f t="shared" si="9"/>
        <v>0.49211001742083427</v>
      </c>
      <c r="AD32">
        <f t="shared" si="10"/>
        <v>3.6103289885887313</v>
      </c>
      <c r="AE32">
        <f t="shared" si="11"/>
        <v>0.6079867627131087</v>
      </c>
      <c r="AF32">
        <f t="shared" si="12"/>
        <v>5.9381703846278322</v>
      </c>
      <c r="AG32">
        <f t="shared" si="13"/>
        <v>9.5590371193691137</v>
      </c>
      <c r="AH32" s="1" t="s">
        <v>64</v>
      </c>
      <c r="AI32" s="1">
        <v>877.8</v>
      </c>
      <c r="AJ32" s="1"/>
      <c r="AK32">
        <f>density_IPA*Y32^2*annulus_area2</f>
        <v>0.28294843752306814</v>
      </c>
      <c r="AL32">
        <f>density_LOX*Z32^2*pintle_area2</f>
        <v>5.7826756048119196E-2</v>
      </c>
      <c r="AM32">
        <f>AK32/AL32</f>
        <v>4.8930366643361278</v>
      </c>
    </row>
    <row r="33" spans="1:39" x14ac:dyDescent="0.25">
      <c r="A33" t="s">
        <v>8</v>
      </c>
      <c r="B33" t="s">
        <v>29</v>
      </c>
      <c r="C33" s="1">
        <v>4</v>
      </c>
      <c r="D33" t="s">
        <v>28</v>
      </c>
      <c r="E33" s="9"/>
      <c r="U33" s="24">
        <v>36.6</v>
      </c>
      <c r="V33" s="24">
        <v>16.57</v>
      </c>
      <c r="W33" s="24">
        <f t="shared" ref="W33:W34" si="14">U33/$W$7</f>
        <v>252348.18257597857</v>
      </c>
      <c r="X33" s="24">
        <f t="shared" ref="X33:X34" si="15">V33/$W$7</f>
        <v>114246.15806786789</v>
      </c>
      <c r="Y33" s="22">
        <f t="shared" si="5"/>
        <v>19.703023335234857</v>
      </c>
      <c r="Z33" s="22">
        <f t="shared" si="6"/>
        <v>9.5339207734425813</v>
      </c>
      <c r="AA33" s="19">
        <f t="shared" si="7"/>
        <v>0.42403707270153634</v>
      </c>
      <c r="AB33" s="19">
        <f t="shared" si="8"/>
        <v>0.21564977707248589</v>
      </c>
      <c r="AC33" s="19">
        <f t="shared" si="9"/>
        <v>0.63968684977402224</v>
      </c>
      <c r="AD33">
        <f t="shared" si="10"/>
        <v>4.6202112231590071</v>
      </c>
      <c r="AE33">
        <f t="shared" si="11"/>
        <v>2.0559878894196348</v>
      </c>
      <c r="AF33">
        <f t="shared" si="12"/>
        <v>2.2471976838653474</v>
      </c>
      <c r="AG33">
        <f t="shared" si="13"/>
        <v>23.989000816009955</v>
      </c>
      <c r="AH33"/>
      <c r="AI33"/>
    </row>
    <row r="34" spans="1:39" x14ac:dyDescent="0.25">
      <c r="A34" t="s">
        <v>8</v>
      </c>
      <c r="B34" t="s">
        <v>29</v>
      </c>
      <c r="C34" s="1">
        <v>5</v>
      </c>
      <c r="D34" t="s">
        <v>28</v>
      </c>
      <c r="U34" s="24">
        <v>30.59</v>
      </c>
      <c r="V34" s="24">
        <v>11.49</v>
      </c>
      <c r="W34" s="24">
        <f t="shared" si="14"/>
        <v>210910.68046445856</v>
      </c>
      <c r="X34" s="24">
        <f t="shared" si="15"/>
        <v>79220.781907049008</v>
      </c>
      <c r="Y34" s="22">
        <f t="shared" si="5"/>
        <v>18.012834861153678</v>
      </c>
      <c r="Z34" s="22">
        <f t="shared" si="6"/>
        <v>7.9390822033664019</v>
      </c>
      <c r="AA34" s="19">
        <f t="shared" si="7"/>
        <v>0.38766181390652787</v>
      </c>
      <c r="AB34" s="19">
        <f t="shared" si="8"/>
        <v>0.17957578503118821</v>
      </c>
      <c r="AC34" s="19">
        <f t="shared" si="9"/>
        <v>0.56723759893771608</v>
      </c>
      <c r="AD34">
        <f t="shared" si="10"/>
        <v>3.8615371944380872</v>
      </c>
      <c r="AE34">
        <f t="shared" si="11"/>
        <v>1.4256669190966571</v>
      </c>
      <c r="AF34">
        <f t="shared" si="12"/>
        <v>2.7085830096169072</v>
      </c>
      <c r="AG34">
        <f t="shared" si="13"/>
        <v>20.263981320060967</v>
      </c>
      <c r="AH34"/>
      <c r="AI34"/>
    </row>
    <row r="35" spans="1:39" x14ac:dyDescent="0.25">
      <c r="U35" s="24">
        <v>30.4</v>
      </c>
      <c r="V35" s="24">
        <v>22.125</v>
      </c>
      <c r="W35" s="24">
        <f t="shared" ref="W35" si="16">U35/$W$7</f>
        <v>209600.67623797126</v>
      </c>
      <c r="X35" s="24">
        <f t="shared" ref="X35" si="17">V35/$W$7</f>
        <v>152546.54479490506</v>
      </c>
      <c r="Y35" s="22">
        <f t="shared" si="5"/>
        <v>17.956807245301501</v>
      </c>
      <c r="Z35" s="22">
        <f t="shared" si="6"/>
        <v>11.016710171011155</v>
      </c>
      <c r="AA35" s="19">
        <f t="shared" si="7"/>
        <v>0.38645601996251333</v>
      </c>
      <c r="AB35" s="19">
        <f t="shared" si="8"/>
        <v>0.24918930510399961</v>
      </c>
      <c r="AC35" s="19">
        <f t="shared" si="9"/>
        <v>0.63564532506651295</v>
      </c>
      <c r="AD35">
        <f t="shared" si="10"/>
        <v>3.8375524913670427</v>
      </c>
      <c r="AE35">
        <f t="shared" si="11"/>
        <v>2.7452463520464345</v>
      </c>
      <c r="AF35">
        <f t="shared" si="12"/>
        <v>1.3978900248811377</v>
      </c>
      <c r="AG35">
        <f t="shared" si="13"/>
        <v>35.578560702570691</v>
      </c>
      <c r="AH35"/>
      <c r="AI35"/>
    </row>
    <row r="36" spans="1:39" x14ac:dyDescent="0.25">
      <c r="T36" t="s">
        <v>68</v>
      </c>
      <c r="U36" s="24">
        <v>56</v>
      </c>
      <c r="V36" s="24">
        <v>59</v>
      </c>
      <c r="W36" s="24">
        <f t="shared" ref="W36" si="18">U36/$W$7</f>
        <v>386106.50885942072</v>
      </c>
      <c r="X36" s="24">
        <f t="shared" ref="X36" si="19">V36/$W$7</f>
        <v>406790.78611974686</v>
      </c>
      <c r="Y36" s="22">
        <f t="shared" si="5"/>
        <v>24.371729119889299</v>
      </c>
      <c r="Z36" s="22">
        <f t="shared" si="6"/>
        <v>17.990212375404628</v>
      </c>
      <c r="AA36" s="19">
        <f t="shared" si="7"/>
        <v>0.52451425838751686</v>
      </c>
      <c r="AB36" s="19">
        <f t="shared" si="8"/>
        <v>0.40692443124234334</v>
      </c>
      <c r="AC36" s="19">
        <f t="shared" si="9"/>
        <v>0.93143868962986021</v>
      </c>
      <c r="AD36">
        <f t="shared" si="10"/>
        <v>7.0691756419919223</v>
      </c>
      <c r="AE36">
        <f t="shared" si="11"/>
        <v>7.3206569387904947</v>
      </c>
      <c r="AF36">
        <f t="shared" si="12"/>
        <v>0.96564771455604892</v>
      </c>
      <c r="AG36">
        <f t="shared" si="13"/>
        <v>46.001217366435114</v>
      </c>
      <c r="AK36">
        <f>density_IPA*Y36^2*annulus_area2</f>
        <v>0.55402491263258102</v>
      </c>
      <c r="AL36">
        <f>density_LOX*Z36^2*pintle_area2</f>
        <v>0.69628134833449651</v>
      </c>
      <c r="AM36">
        <f>AK36/AL36</f>
        <v>0.79569115840573268</v>
      </c>
    </row>
    <row r="37" spans="1:39" x14ac:dyDescent="0.25">
      <c r="A37" t="s">
        <v>30</v>
      </c>
      <c r="T37" t="s">
        <v>68</v>
      </c>
      <c r="U37" s="24">
        <v>36.6</v>
      </c>
      <c r="V37" s="24">
        <v>36.6</v>
      </c>
      <c r="W37" s="24">
        <f t="shared" ref="W37" si="20">U37/$W$7</f>
        <v>252348.18257597857</v>
      </c>
      <c r="X37" s="24">
        <f t="shared" ref="X37" si="21">V37/$W$7</f>
        <v>252348.18257597857</v>
      </c>
      <c r="Y37" s="22">
        <f t="shared" si="5"/>
        <v>19.703023335234857</v>
      </c>
      <c r="Z37" s="22">
        <f t="shared" si="6"/>
        <v>14.169379334053069</v>
      </c>
      <c r="AA37" s="19">
        <f t="shared" si="7"/>
        <v>0.42403707270153634</v>
      </c>
      <c r="AB37" s="19">
        <f t="shared" si="8"/>
        <v>0.32050019789924106</v>
      </c>
      <c r="AC37" s="19">
        <f t="shared" si="9"/>
        <v>0.74453727060077735</v>
      </c>
      <c r="AD37">
        <f t="shared" si="10"/>
        <v>4.6202112231590071</v>
      </c>
      <c r="AE37">
        <f t="shared" si="11"/>
        <v>4.5412888806734246</v>
      </c>
      <c r="AF37">
        <f t="shared" si="12"/>
        <v>1.0173788421215519</v>
      </c>
      <c r="AG37">
        <f t="shared" si="13"/>
        <v>44.506433965052402</v>
      </c>
      <c r="AK37">
        <f>density_IPA*Y37^2*annulus_area2</f>
        <v>0.36209485361343696</v>
      </c>
      <c r="AL37">
        <f>density_LOX*Z37^2*pintle_area2</f>
        <v>0.43193046354309439</v>
      </c>
      <c r="AM37">
        <f>AK37/AL37</f>
        <v>0.83831747046318295</v>
      </c>
    </row>
    <row r="38" spans="1:39" x14ac:dyDescent="0.25">
      <c r="T38" t="s">
        <v>68</v>
      </c>
      <c r="U38" s="24">
        <v>50</v>
      </c>
      <c r="V38" s="24">
        <v>66</v>
      </c>
      <c r="W38" s="24">
        <f t="shared" ref="W38" si="22">U38/$W$7</f>
        <v>344737.9543387685</v>
      </c>
      <c r="X38" s="24">
        <f t="shared" ref="X38" si="23">V38/$W$7</f>
        <v>455054.09972717444</v>
      </c>
      <c r="Y38" s="22">
        <f t="shared" si="5"/>
        <v>23.029119382806488</v>
      </c>
      <c r="Z38" s="22">
        <f t="shared" si="6"/>
        <v>19.027522851769792</v>
      </c>
      <c r="AA38" s="19">
        <f t="shared" si="7"/>
        <v>0.49561938814315853</v>
      </c>
      <c r="AB38" s="19">
        <f t="shared" si="8"/>
        <v>0.43038757702453012</v>
      </c>
      <c r="AC38" s="19">
        <f t="shared" si="9"/>
        <v>0.92600696516768866</v>
      </c>
      <c r="AD38">
        <f t="shared" si="10"/>
        <v>6.3117639660642144</v>
      </c>
      <c r="AE38">
        <f t="shared" si="11"/>
        <v>8.1892094569520779</v>
      </c>
      <c r="AF38">
        <f t="shared" si="12"/>
        <v>0.77074154706178133</v>
      </c>
      <c r="AG38">
        <f t="shared" si="13"/>
        <v>52.377065352719974</v>
      </c>
    </row>
    <row r="39" spans="1:39" x14ac:dyDescent="0.25">
      <c r="A39" t="s">
        <v>0</v>
      </c>
      <c r="B39">
        <v>20</v>
      </c>
      <c r="C39" s="1">
        <v>1</v>
      </c>
      <c r="D39" t="s">
        <v>27</v>
      </c>
      <c r="E39" s="1">
        <v>0</v>
      </c>
      <c r="F39" s="1">
        <v>36.229999999999997</v>
      </c>
      <c r="G39" s="1">
        <v>55.88</v>
      </c>
      <c r="H39" s="1">
        <v>79.97</v>
      </c>
      <c r="I39" s="1">
        <v>99.35</v>
      </c>
      <c r="J39" s="1">
        <v>118.02</v>
      </c>
      <c r="T39" t="s">
        <v>70</v>
      </c>
    </row>
    <row r="40" spans="1:39" x14ac:dyDescent="0.25">
      <c r="C40" s="1"/>
      <c r="T40" s="28" t="s">
        <v>69</v>
      </c>
      <c r="U40" s="29">
        <v>50</v>
      </c>
      <c r="V40" s="30">
        <v>66</v>
      </c>
      <c r="W40" s="30">
        <f t="shared" ref="W40" si="24">U40/$W$7</f>
        <v>344737.9543387685</v>
      </c>
      <c r="X40" s="30">
        <f t="shared" ref="X40" si="25">V40/$W$7</f>
        <v>455054.09972717444</v>
      </c>
      <c r="Y40" s="31">
        <f>SQRT((2*W40)/(kl_annulus*density_IPA))</f>
        <v>24.57618055235416</v>
      </c>
      <c r="Z40" s="31">
        <f>SQRT((2*X40)/(kl_pintle*density_LOX))</f>
        <v>17.810424718337124</v>
      </c>
      <c r="AA40" s="32">
        <f>Y40*Density_h20*Annulus_area</f>
        <v>0.52891434386967728</v>
      </c>
      <c r="AB40" s="32">
        <f>Z40*Density_h20*Pintle_Area</f>
        <v>0.40285777607619272</v>
      </c>
      <c r="AC40" s="32">
        <f>AB40+AA40</f>
        <v>0.93177211994586995</v>
      </c>
      <c r="AD40" s="28">
        <f>(blockage_factor*AA40)*Y40</f>
        <v>7.1882780096541321</v>
      </c>
      <c r="AE40" s="28">
        <f>AB40*Z40</f>
        <v>7.1750680930017454</v>
      </c>
      <c r="AF40" s="28">
        <f>AD40/AE40</f>
        <v>1.0018410858937035</v>
      </c>
      <c r="AG40" s="28">
        <f>ATAN(AE40/AD40)*180/PI()</f>
        <v>44.947305296892942</v>
      </c>
      <c r="AH40" s="24"/>
      <c r="AI40" s="24"/>
      <c r="AK40">
        <f>density_IPA*Y40^2*annulus_area2</f>
        <v>0.56335919461680906</v>
      </c>
      <c r="AL40">
        <f>density_LOX*Z40^2*pintle_area2</f>
        <v>0.6824341214126729</v>
      </c>
      <c r="AM40">
        <f>AK40/AL40</f>
        <v>0.82551440049718972</v>
      </c>
    </row>
    <row r="41" spans="1:39" x14ac:dyDescent="0.25">
      <c r="C41" s="1"/>
    </row>
    <row r="42" spans="1:39" x14ac:dyDescent="0.25">
      <c r="A42" t="s">
        <v>0</v>
      </c>
      <c r="B42">
        <v>40</v>
      </c>
      <c r="C42" s="1">
        <v>1</v>
      </c>
      <c r="D42" t="s">
        <v>27</v>
      </c>
      <c r="E42" s="1">
        <v>0</v>
      </c>
      <c r="F42" s="1">
        <v>28.23</v>
      </c>
      <c r="G42" s="1">
        <v>48.13</v>
      </c>
      <c r="H42" s="1">
        <v>68.41</v>
      </c>
      <c r="I42" s="1">
        <v>85.41</v>
      </c>
      <c r="J42" s="1">
        <v>103.09</v>
      </c>
      <c r="K42" s="1">
        <v>125.73</v>
      </c>
      <c r="L42" s="1">
        <v>136.47999999999999</v>
      </c>
    </row>
    <row r="43" spans="1:39" x14ac:dyDescent="0.25">
      <c r="C43" s="1">
        <v>2</v>
      </c>
      <c r="E43" s="1">
        <v>0</v>
      </c>
      <c r="F43" s="1">
        <v>35.57</v>
      </c>
      <c r="G43" s="1">
        <v>55.61</v>
      </c>
      <c r="H43" s="1">
        <v>75.94</v>
      </c>
      <c r="I43" s="1">
        <v>103.24</v>
      </c>
      <c r="J43" s="1">
        <v>125.45</v>
      </c>
      <c r="K43" s="1">
        <v>148.47</v>
      </c>
      <c r="L43" s="1">
        <v>168.56</v>
      </c>
    </row>
    <row r="44" spans="1:39" x14ac:dyDescent="0.25">
      <c r="C44" s="1">
        <v>3</v>
      </c>
      <c r="E44" s="1">
        <v>0</v>
      </c>
      <c r="F44" s="1">
        <v>46.27</v>
      </c>
      <c r="H44" s="1">
        <v>102.3</v>
      </c>
    </row>
    <row r="45" spans="1:39" x14ac:dyDescent="0.25">
      <c r="C45" s="1">
        <v>4</v>
      </c>
      <c r="E45" s="1">
        <v>0</v>
      </c>
      <c r="I45" s="1">
        <v>165</v>
      </c>
    </row>
    <row r="46" spans="1:39" x14ac:dyDescent="0.25">
      <c r="C46" s="1">
        <v>5</v>
      </c>
      <c r="E46" s="1">
        <v>0</v>
      </c>
      <c r="K46" s="1">
        <v>254</v>
      </c>
    </row>
    <row r="49" spans="1:15" x14ac:dyDescent="0.25">
      <c r="A49" t="s">
        <v>31</v>
      </c>
    </row>
    <row r="52" spans="1:15" x14ac:dyDescent="0.25">
      <c r="A52" t="s">
        <v>6</v>
      </c>
      <c r="B52" t="s">
        <v>16</v>
      </c>
      <c r="C52" t="s">
        <v>17</v>
      </c>
      <c r="F52" s="1" t="s">
        <v>18</v>
      </c>
      <c r="G52" s="1">
        <v>83</v>
      </c>
      <c r="H52" s="1">
        <v>50</v>
      </c>
    </row>
    <row r="53" spans="1:15" x14ac:dyDescent="0.25">
      <c r="A53" t="s">
        <v>15</v>
      </c>
      <c r="B53" t="s">
        <v>0</v>
      </c>
      <c r="C53">
        <v>20</v>
      </c>
      <c r="F53" s="1">
        <v>2</v>
      </c>
    </row>
    <row r="54" spans="1:15" x14ac:dyDescent="0.25">
      <c r="A54" t="s">
        <v>6</v>
      </c>
      <c r="G54" s="1">
        <v>97</v>
      </c>
      <c r="I54" s="1">
        <v>103</v>
      </c>
      <c r="J54" s="1">
        <v>47</v>
      </c>
    </row>
    <row r="56" spans="1:15" x14ac:dyDescent="0.25">
      <c r="A56" t="s">
        <v>15</v>
      </c>
      <c r="B56" t="s">
        <v>1</v>
      </c>
      <c r="C56">
        <v>20</v>
      </c>
      <c r="F56" s="1">
        <v>1</v>
      </c>
    </row>
    <row r="57" spans="1:15" x14ac:dyDescent="0.25">
      <c r="A57" t="s">
        <v>6</v>
      </c>
      <c r="G57" s="1">
        <v>12.2</v>
      </c>
      <c r="H57" s="1">
        <v>6.2</v>
      </c>
      <c r="I57" s="1">
        <v>5.7</v>
      </c>
      <c r="J57" s="1">
        <v>6.2</v>
      </c>
      <c r="K57" s="1">
        <v>6.6</v>
      </c>
      <c r="L57" s="1">
        <v>6.7</v>
      </c>
      <c r="M57" s="1">
        <v>5.5</v>
      </c>
    </row>
    <row r="58" spans="1:15" x14ac:dyDescent="0.25">
      <c r="A58" t="s">
        <v>15</v>
      </c>
      <c r="B58" t="s">
        <v>1</v>
      </c>
      <c r="C58">
        <v>20</v>
      </c>
      <c r="F58" s="1">
        <v>2</v>
      </c>
      <c r="G58" s="1">
        <v>10.4</v>
      </c>
      <c r="H58" s="1">
        <v>6.8</v>
      </c>
      <c r="I58" s="1">
        <v>7</v>
      </c>
      <c r="J58" s="1">
        <v>5.9</v>
      </c>
      <c r="K58" s="1">
        <v>6</v>
      </c>
      <c r="L58" s="1">
        <v>6.1</v>
      </c>
      <c r="M58" s="1">
        <v>6.2</v>
      </c>
      <c r="N58" s="1">
        <v>5.0999999999999996</v>
      </c>
      <c r="O58" s="1">
        <v>5</v>
      </c>
    </row>
    <row r="59" spans="1:15" x14ac:dyDescent="0.25">
      <c r="A59" t="s">
        <v>15</v>
      </c>
      <c r="B59" t="s">
        <v>1</v>
      </c>
      <c r="C59">
        <v>20</v>
      </c>
      <c r="F59" s="1">
        <v>3</v>
      </c>
      <c r="G59" s="1">
        <v>11.3</v>
      </c>
      <c r="H59" s="1">
        <v>5.9</v>
      </c>
      <c r="I59" s="1">
        <v>7.6</v>
      </c>
      <c r="J59" s="1">
        <v>6.4</v>
      </c>
      <c r="K59" s="1">
        <v>6.3</v>
      </c>
      <c r="L59" s="1">
        <v>6</v>
      </c>
      <c r="M59" s="1">
        <v>5.3</v>
      </c>
      <c r="N59" s="1">
        <v>6.2</v>
      </c>
      <c r="O59" s="1">
        <v>5.4</v>
      </c>
    </row>
    <row r="60" spans="1:15" x14ac:dyDescent="0.25">
      <c r="A60" t="s">
        <v>15</v>
      </c>
      <c r="B60" t="s">
        <v>1</v>
      </c>
      <c r="C60">
        <v>40</v>
      </c>
      <c r="F60" s="1">
        <v>1</v>
      </c>
      <c r="G60" s="1">
        <v>9.6</v>
      </c>
      <c r="H60" s="1">
        <v>3.9</v>
      </c>
      <c r="I60" s="1">
        <v>5.2</v>
      </c>
      <c r="J60" s="1">
        <v>4.2</v>
      </c>
      <c r="K60" s="1">
        <v>5.4</v>
      </c>
      <c r="L60" s="1">
        <v>3.7</v>
      </c>
      <c r="M60" s="1">
        <v>4.0999999999999996</v>
      </c>
      <c r="N60" s="1">
        <v>4.3</v>
      </c>
      <c r="O60" s="1">
        <v>3.7</v>
      </c>
    </row>
    <row r="61" spans="1:15" x14ac:dyDescent="0.25">
      <c r="A61" t="s">
        <v>15</v>
      </c>
      <c r="B61" t="s">
        <v>1</v>
      </c>
      <c r="C61">
        <v>40</v>
      </c>
      <c r="F61" s="1">
        <v>2</v>
      </c>
      <c r="G61" s="1">
        <v>8.9</v>
      </c>
      <c r="H61" s="1">
        <v>4.8</v>
      </c>
      <c r="I61" s="1">
        <v>5.0999999999999996</v>
      </c>
      <c r="J61" s="1">
        <v>5</v>
      </c>
      <c r="K61" s="1">
        <v>4.5999999999999996</v>
      </c>
      <c r="L61" s="1">
        <v>4</v>
      </c>
      <c r="M61" s="1">
        <v>3.9</v>
      </c>
      <c r="N61" s="1">
        <v>4.8</v>
      </c>
      <c r="O61" s="1">
        <v>3</v>
      </c>
    </row>
    <row r="62" spans="1:15" x14ac:dyDescent="0.25">
      <c r="A62" t="s">
        <v>15</v>
      </c>
      <c r="B62" t="s">
        <v>1</v>
      </c>
      <c r="C62">
        <v>40</v>
      </c>
      <c r="F62" s="1">
        <v>3</v>
      </c>
      <c r="G62" s="1">
        <v>9.6999999999999993</v>
      </c>
      <c r="H62" s="1">
        <v>4.7</v>
      </c>
      <c r="I62" s="1">
        <v>5.4</v>
      </c>
      <c r="J62" s="1">
        <v>4.3</v>
      </c>
      <c r="K62" s="1">
        <v>4.3</v>
      </c>
      <c r="L62" s="1">
        <v>5.2</v>
      </c>
      <c r="M62" s="1">
        <v>3.7</v>
      </c>
      <c r="N62" s="1">
        <v>4.0999999999999996</v>
      </c>
      <c r="O62" s="1">
        <v>3.4</v>
      </c>
    </row>
    <row r="63" spans="1:15" x14ac:dyDescent="0.25">
      <c r="A63" t="s">
        <v>15</v>
      </c>
      <c r="B63" t="s">
        <v>8</v>
      </c>
      <c r="C63">
        <v>45</v>
      </c>
      <c r="F63" s="1">
        <v>1</v>
      </c>
    </row>
    <row r="64" spans="1:15" x14ac:dyDescent="0.25">
      <c r="A64" t="s">
        <v>15</v>
      </c>
      <c r="B64" t="s">
        <v>8</v>
      </c>
      <c r="C64">
        <v>45</v>
      </c>
      <c r="F64" s="1">
        <v>2</v>
      </c>
    </row>
    <row r="65" spans="1:6" x14ac:dyDescent="0.25">
      <c r="A65" t="s">
        <v>15</v>
      </c>
      <c r="B65" t="s">
        <v>8</v>
      </c>
      <c r="C65">
        <v>45</v>
      </c>
      <c r="F65" s="1">
        <v>3</v>
      </c>
    </row>
    <row r="66" spans="1:6" x14ac:dyDescent="0.25">
      <c r="A66" t="s">
        <v>15</v>
      </c>
      <c r="B66" t="s">
        <v>8</v>
      </c>
      <c r="C66">
        <v>45</v>
      </c>
      <c r="F66" s="1">
        <v>4</v>
      </c>
    </row>
    <row r="67" spans="1:6" x14ac:dyDescent="0.25">
      <c r="A67" t="s">
        <v>15</v>
      </c>
      <c r="B67" t="s">
        <v>8</v>
      </c>
      <c r="C67">
        <v>45</v>
      </c>
      <c r="F67" s="1">
        <v>5</v>
      </c>
    </row>
  </sheetData>
  <mergeCells count="3">
    <mergeCell ref="AD27:AF27"/>
    <mergeCell ref="E11:R11"/>
    <mergeCell ref="U9:V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29EB-5D1B-4E3F-A38E-7D69CBFEAF26}">
  <dimension ref="A1:AJ48"/>
  <sheetViews>
    <sheetView workbookViewId="0">
      <selection activeCell="D7" sqref="D7"/>
    </sheetView>
  </sheetViews>
  <sheetFormatPr defaultRowHeight="15" x14ac:dyDescent="0.25"/>
  <sheetData>
    <row r="1" spans="1:36" x14ac:dyDescent="0.25">
      <c r="E1">
        <v>0.5</v>
      </c>
      <c r="F1">
        <v>0.75</v>
      </c>
      <c r="G1">
        <v>1</v>
      </c>
      <c r="H1">
        <v>1.25</v>
      </c>
      <c r="I1">
        <v>1.5</v>
      </c>
      <c r="J1">
        <v>1.75</v>
      </c>
      <c r="K1">
        <v>2</v>
      </c>
      <c r="L1">
        <v>2.25</v>
      </c>
      <c r="M1">
        <v>2.5</v>
      </c>
      <c r="N1">
        <v>2.75</v>
      </c>
      <c r="O1">
        <v>3</v>
      </c>
      <c r="P1">
        <v>3.25</v>
      </c>
      <c r="Q1">
        <v>3.5</v>
      </c>
      <c r="AB1">
        <v>0.5</v>
      </c>
      <c r="AC1">
        <v>0.75</v>
      </c>
      <c r="AD1">
        <v>1</v>
      </c>
      <c r="AE1">
        <v>1.25</v>
      </c>
      <c r="AF1">
        <v>1.5</v>
      </c>
      <c r="AG1">
        <v>1.75</v>
      </c>
      <c r="AH1">
        <v>2</v>
      </c>
      <c r="AI1">
        <v>2.25</v>
      </c>
      <c r="AJ1">
        <v>2.5</v>
      </c>
    </row>
    <row r="3" spans="1:36" x14ac:dyDescent="0.25">
      <c r="A3" t="s">
        <v>5</v>
      </c>
      <c r="B3" t="s">
        <v>0</v>
      </c>
      <c r="C3">
        <v>20</v>
      </c>
      <c r="D3">
        <v>1</v>
      </c>
      <c r="E3">
        <v>6</v>
      </c>
      <c r="F3">
        <v>4.3</v>
      </c>
      <c r="G3">
        <v>3.8</v>
      </c>
      <c r="H3">
        <v>3.1</v>
      </c>
      <c r="I3">
        <v>3.8</v>
      </c>
      <c r="J3">
        <v>3.4</v>
      </c>
      <c r="K3">
        <v>2.9</v>
      </c>
      <c r="L3">
        <v>4</v>
      </c>
      <c r="M3">
        <v>3.5</v>
      </c>
      <c r="R3">
        <v>6</v>
      </c>
      <c r="S3">
        <v>10.3</v>
      </c>
      <c r="T3">
        <v>14.1</v>
      </c>
      <c r="U3">
        <v>17.2</v>
      </c>
      <c r="V3">
        <v>21</v>
      </c>
      <c r="W3">
        <v>24.4</v>
      </c>
      <c r="X3">
        <v>27.3</v>
      </c>
      <c r="Y3">
        <v>31.3</v>
      </c>
      <c r="Z3">
        <v>34.799999999999997</v>
      </c>
      <c r="AB3">
        <v>0.1</v>
      </c>
      <c r="AC3">
        <v>0.1716666667</v>
      </c>
      <c r="AD3">
        <v>0.23499999999999999</v>
      </c>
      <c r="AE3">
        <v>0.28666666670000002</v>
      </c>
      <c r="AF3">
        <v>0.35</v>
      </c>
      <c r="AG3">
        <v>0.40666666670000001</v>
      </c>
      <c r="AH3">
        <v>0.45500000000000002</v>
      </c>
      <c r="AI3">
        <v>0.52166666669999995</v>
      </c>
      <c r="AJ3">
        <v>0.57999999999999996</v>
      </c>
    </row>
    <row r="4" spans="1:36" x14ac:dyDescent="0.25">
      <c r="A4" t="s">
        <v>5</v>
      </c>
      <c r="B4" t="s">
        <v>0</v>
      </c>
      <c r="C4">
        <v>20</v>
      </c>
      <c r="D4">
        <v>2</v>
      </c>
      <c r="E4">
        <v>6</v>
      </c>
      <c r="F4">
        <v>3.4</v>
      </c>
      <c r="G4">
        <v>2.8</v>
      </c>
      <c r="H4">
        <v>3.1</v>
      </c>
      <c r="I4">
        <v>3</v>
      </c>
      <c r="J4">
        <v>3</v>
      </c>
      <c r="K4">
        <v>2.7</v>
      </c>
      <c r="L4">
        <v>3.3</v>
      </c>
      <c r="M4">
        <v>3.7</v>
      </c>
      <c r="R4">
        <v>6</v>
      </c>
      <c r="S4">
        <v>9.4</v>
      </c>
      <c r="T4">
        <v>12.2</v>
      </c>
      <c r="U4">
        <v>15.3</v>
      </c>
      <c r="V4">
        <v>18.3</v>
      </c>
      <c r="W4">
        <v>21.3</v>
      </c>
      <c r="X4">
        <v>24</v>
      </c>
      <c r="Y4">
        <v>27.3</v>
      </c>
      <c r="Z4">
        <v>31</v>
      </c>
      <c r="AB4">
        <v>0.1</v>
      </c>
      <c r="AC4">
        <v>0.15666666670000001</v>
      </c>
      <c r="AD4">
        <v>0.2033333333</v>
      </c>
      <c r="AE4">
        <v>0.255</v>
      </c>
      <c r="AF4">
        <v>0.30499999999999999</v>
      </c>
      <c r="AG4">
        <v>0.35499999999999998</v>
      </c>
      <c r="AH4">
        <v>0.4</v>
      </c>
      <c r="AI4">
        <v>0.45500000000000002</v>
      </c>
      <c r="AJ4">
        <v>0.51666666670000005</v>
      </c>
    </row>
    <row r="5" spans="1:36" x14ac:dyDescent="0.25">
      <c r="A5" t="s">
        <v>5</v>
      </c>
      <c r="B5" t="s">
        <v>0</v>
      </c>
      <c r="C5">
        <v>20</v>
      </c>
      <c r="D5">
        <v>3</v>
      </c>
      <c r="E5">
        <v>4.9000000000000004</v>
      </c>
      <c r="F5">
        <v>2.9</v>
      </c>
      <c r="G5">
        <v>2.9</v>
      </c>
      <c r="H5">
        <v>3.1</v>
      </c>
      <c r="I5">
        <v>3.7</v>
      </c>
      <c r="J5">
        <v>2.7</v>
      </c>
      <c r="K5">
        <v>3.4</v>
      </c>
      <c r="L5">
        <v>3</v>
      </c>
      <c r="M5">
        <v>2.8</v>
      </c>
      <c r="R5">
        <v>4.9000000000000004</v>
      </c>
      <c r="S5">
        <v>7.8</v>
      </c>
      <c r="T5">
        <v>10.7</v>
      </c>
      <c r="U5">
        <v>13.8</v>
      </c>
      <c r="V5">
        <v>17.5</v>
      </c>
      <c r="W5">
        <v>20.2</v>
      </c>
      <c r="X5">
        <v>23.6</v>
      </c>
      <c r="Y5">
        <v>26.6</v>
      </c>
      <c r="Z5">
        <v>29.4</v>
      </c>
      <c r="AB5">
        <v>8.1666666669999999E-2</v>
      </c>
      <c r="AC5">
        <v>0.13</v>
      </c>
      <c r="AD5">
        <v>0.17833333330000001</v>
      </c>
      <c r="AE5">
        <v>0.23</v>
      </c>
      <c r="AF5">
        <v>0.29166666670000002</v>
      </c>
      <c r="AG5">
        <v>0.33666666670000001</v>
      </c>
      <c r="AH5">
        <v>0.39333333329999998</v>
      </c>
      <c r="AI5">
        <v>0.44333333330000002</v>
      </c>
      <c r="AJ5">
        <v>0.49</v>
      </c>
    </row>
    <row r="6" spans="1:36" x14ac:dyDescent="0.25">
      <c r="A6" t="s">
        <v>5</v>
      </c>
      <c r="B6" t="s">
        <v>0</v>
      </c>
      <c r="C6">
        <v>40</v>
      </c>
      <c r="D6">
        <v>0</v>
      </c>
    </row>
    <row r="8" spans="1:36" x14ac:dyDescent="0.25">
      <c r="A8" t="s">
        <v>5</v>
      </c>
      <c r="B8" t="s">
        <v>0</v>
      </c>
      <c r="C8">
        <v>40</v>
      </c>
      <c r="D8">
        <v>1</v>
      </c>
      <c r="E8">
        <v>6.1</v>
      </c>
      <c r="F8">
        <v>3.1</v>
      </c>
      <c r="G8">
        <v>2.5</v>
      </c>
      <c r="H8">
        <v>2.8</v>
      </c>
      <c r="I8">
        <v>3.6</v>
      </c>
      <c r="J8">
        <v>2.2999999999999998</v>
      </c>
      <c r="K8">
        <v>2.2000000000000002</v>
      </c>
      <c r="L8">
        <v>2.4</v>
      </c>
      <c r="M8">
        <v>3</v>
      </c>
      <c r="R8">
        <v>6.1</v>
      </c>
      <c r="S8">
        <v>9.1999999999999993</v>
      </c>
      <c r="T8">
        <v>11.7</v>
      </c>
      <c r="U8">
        <v>14.5</v>
      </c>
      <c r="V8">
        <v>18.100000000000001</v>
      </c>
      <c r="W8">
        <v>20.399999999999999</v>
      </c>
      <c r="X8">
        <v>22.6</v>
      </c>
      <c r="Y8">
        <v>25</v>
      </c>
      <c r="Z8">
        <v>28</v>
      </c>
      <c r="AB8">
        <v>0.10166666670000001</v>
      </c>
      <c r="AC8">
        <v>0.15333333330000001</v>
      </c>
      <c r="AD8">
        <v>0.19500000000000001</v>
      </c>
      <c r="AE8">
        <v>0.2416666667</v>
      </c>
      <c r="AF8">
        <v>0.30166666669999997</v>
      </c>
      <c r="AG8">
        <v>0.34</v>
      </c>
      <c r="AH8">
        <v>0.37666666669999999</v>
      </c>
      <c r="AI8">
        <v>0.41666666670000002</v>
      </c>
      <c r="AJ8">
        <v>0.46666666670000001</v>
      </c>
    </row>
    <row r="9" spans="1:36" x14ac:dyDescent="0.25">
      <c r="A9" t="s">
        <v>5</v>
      </c>
      <c r="B9" t="s">
        <v>0</v>
      </c>
      <c r="C9">
        <v>40</v>
      </c>
      <c r="D9">
        <v>2</v>
      </c>
      <c r="E9">
        <v>4.0999999999999996</v>
      </c>
      <c r="F9">
        <v>3.9</v>
      </c>
      <c r="G9">
        <v>2.9</v>
      </c>
      <c r="H9">
        <v>3.5</v>
      </c>
      <c r="I9">
        <v>2.5</v>
      </c>
      <c r="J9">
        <v>2.5</v>
      </c>
      <c r="K9">
        <v>2.6</v>
      </c>
      <c r="L9">
        <v>2.8</v>
      </c>
      <c r="M9">
        <v>2.5</v>
      </c>
      <c r="R9">
        <v>4.0999999999999996</v>
      </c>
      <c r="S9">
        <v>8</v>
      </c>
      <c r="T9">
        <v>10.9</v>
      </c>
      <c r="U9">
        <v>14.4</v>
      </c>
      <c r="V9">
        <v>16.899999999999999</v>
      </c>
      <c r="W9">
        <v>19.399999999999999</v>
      </c>
      <c r="X9">
        <v>22</v>
      </c>
      <c r="Y9">
        <v>24.8</v>
      </c>
      <c r="Z9">
        <v>27.3</v>
      </c>
      <c r="AB9">
        <v>6.8333333329999996E-2</v>
      </c>
      <c r="AC9">
        <v>0.1333333333</v>
      </c>
      <c r="AD9">
        <v>0.18166666670000001</v>
      </c>
      <c r="AE9">
        <v>0.24</v>
      </c>
      <c r="AF9">
        <v>0.28166666670000001</v>
      </c>
      <c r="AG9">
        <v>0.32333333330000003</v>
      </c>
      <c r="AH9">
        <v>0.36666666669999998</v>
      </c>
      <c r="AI9">
        <v>0.41333333329999999</v>
      </c>
      <c r="AJ9">
        <v>0.45500000000000002</v>
      </c>
    </row>
    <row r="10" spans="1:36" x14ac:dyDescent="0.25">
      <c r="A10" t="s">
        <v>5</v>
      </c>
      <c r="B10" t="s">
        <v>0</v>
      </c>
      <c r="C10">
        <v>40</v>
      </c>
      <c r="D10">
        <v>3</v>
      </c>
      <c r="E10">
        <v>5.7</v>
      </c>
      <c r="F10">
        <v>2.8</v>
      </c>
      <c r="G10">
        <v>3.4</v>
      </c>
      <c r="H10">
        <v>3.4</v>
      </c>
      <c r="I10">
        <v>3.1</v>
      </c>
      <c r="J10">
        <v>2.8</v>
      </c>
      <c r="K10">
        <v>3</v>
      </c>
      <c r="L10">
        <v>3.7</v>
      </c>
      <c r="M10">
        <v>2.2000000000000002</v>
      </c>
      <c r="R10">
        <v>5.7</v>
      </c>
      <c r="S10">
        <v>8.5</v>
      </c>
      <c r="T10">
        <v>11.9</v>
      </c>
      <c r="U10">
        <v>15.3</v>
      </c>
      <c r="V10">
        <v>18.399999999999999</v>
      </c>
      <c r="W10">
        <v>21.2</v>
      </c>
      <c r="X10">
        <v>24.2</v>
      </c>
      <c r="Y10">
        <v>27.9</v>
      </c>
      <c r="Z10">
        <v>30.1</v>
      </c>
      <c r="AB10">
        <v>9.5000000000000001E-2</v>
      </c>
      <c r="AC10">
        <v>0.1416666667</v>
      </c>
      <c r="AD10">
        <v>0.1983333333</v>
      </c>
      <c r="AE10">
        <v>0.255</v>
      </c>
      <c r="AF10">
        <v>0.30666666669999998</v>
      </c>
      <c r="AG10">
        <v>0.3533333333</v>
      </c>
      <c r="AH10">
        <v>0.40333333329999999</v>
      </c>
      <c r="AI10">
        <v>0.46500000000000002</v>
      </c>
      <c r="AJ10">
        <v>0.50166666670000004</v>
      </c>
    </row>
    <row r="12" spans="1:36" x14ac:dyDescent="0.25">
      <c r="A12" t="s">
        <v>5</v>
      </c>
      <c r="B12" t="s">
        <v>1</v>
      </c>
      <c r="C12">
        <v>20</v>
      </c>
      <c r="D12">
        <v>1</v>
      </c>
      <c r="E12">
        <v>9.9</v>
      </c>
      <c r="F12">
        <v>4.8</v>
      </c>
      <c r="G12">
        <v>4.4000000000000004</v>
      </c>
      <c r="H12">
        <v>5</v>
      </c>
      <c r="I12">
        <v>4.9000000000000004</v>
      </c>
      <c r="J12">
        <v>5.5</v>
      </c>
      <c r="K12">
        <v>3.4</v>
      </c>
      <c r="L12">
        <v>5.6</v>
      </c>
      <c r="M12">
        <v>2.9</v>
      </c>
      <c r="R12">
        <v>9.9</v>
      </c>
      <c r="S12">
        <v>14.7</v>
      </c>
      <c r="T12">
        <v>19.100000000000001</v>
      </c>
      <c r="U12">
        <v>24.1</v>
      </c>
      <c r="V12">
        <v>29</v>
      </c>
      <c r="W12">
        <v>34.5</v>
      </c>
      <c r="X12">
        <v>37.9</v>
      </c>
      <c r="Y12">
        <v>43.5</v>
      </c>
      <c r="Z12">
        <v>46.4</v>
      </c>
      <c r="AB12">
        <v>0.16500000000000001</v>
      </c>
      <c r="AC12">
        <v>0.245</v>
      </c>
      <c r="AD12">
        <v>0.31833333330000002</v>
      </c>
      <c r="AE12">
        <v>0.40166666670000001</v>
      </c>
      <c r="AF12">
        <v>0.4833333333</v>
      </c>
      <c r="AG12">
        <v>0.57499999999999996</v>
      </c>
      <c r="AH12">
        <v>0.63166666670000005</v>
      </c>
      <c r="AI12">
        <v>0.72499999999999998</v>
      </c>
      <c r="AJ12">
        <v>0.77333333329999998</v>
      </c>
    </row>
    <row r="14" spans="1:36" x14ac:dyDescent="0.25">
      <c r="A14" t="s">
        <v>6</v>
      </c>
    </row>
    <row r="15" spans="1:36" x14ac:dyDescent="0.25">
      <c r="A15" t="s">
        <v>5</v>
      </c>
      <c r="B15" t="s">
        <v>1</v>
      </c>
      <c r="C15">
        <v>20</v>
      </c>
      <c r="D15">
        <v>2</v>
      </c>
      <c r="E15">
        <v>10.7</v>
      </c>
      <c r="F15">
        <v>5.0999999999999996</v>
      </c>
      <c r="G15">
        <v>5.6</v>
      </c>
      <c r="H15">
        <v>4.9000000000000004</v>
      </c>
      <c r="I15">
        <v>5.6</v>
      </c>
      <c r="J15">
        <v>4.7</v>
      </c>
      <c r="K15">
        <v>5.0999999999999996</v>
      </c>
      <c r="L15">
        <v>4.5</v>
      </c>
      <c r="M15">
        <v>3.5</v>
      </c>
      <c r="N15">
        <v>5.7</v>
      </c>
      <c r="O15">
        <v>4.9000000000000004</v>
      </c>
    </row>
    <row r="16" spans="1:36" x14ac:dyDescent="0.25">
      <c r="A16" t="s">
        <v>5</v>
      </c>
      <c r="B16" t="s">
        <v>1</v>
      </c>
      <c r="C16">
        <v>20</v>
      </c>
      <c r="D16">
        <v>3</v>
      </c>
      <c r="E16">
        <v>9.6</v>
      </c>
      <c r="F16">
        <v>4.5999999999999996</v>
      </c>
      <c r="G16">
        <v>3.5</v>
      </c>
      <c r="H16">
        <v>4.8</v>
      </c>
      <c r="I16">
        <v>4.5</v>
      </c>
      <c r="J16">
        <v>4.4000000000000004</v>
      </c>
      <c r="K16">
        <v>3.7</v>
      </c>
      <c r="L16">
        <v>4.5999999999999996</v>
      </c>
      <c r="M16">
        <v>4.0999999999999996</v>
      </c>
      <c r="N16">
        <v>5.0999999999999996</v>
      </c>
      <c r="O16">
        <v>4.3</v>
      </c>
    </row>
    <row r="17" spans="1:15" x14ac:dyDescent="0.25">
      <c r="A17" t="s">
        <v>5</v>
      </c>
      <c r="B17" t="s">
        <v>1</v>
      </c>
      <c r="C17">
        <v>40</v>
      </c>
      <c r="D17">
        <v>1</v>
      </c>
      <c r="E17">
        <v>6</v>
      </c>
      <c r="F17">
        <v>3.5</v>
      </c>
      <c r="G17">
        <v>3.2</v>
      </c>
      <c r="H17">
        <v>3.2</v>
      </c>
      <c r="I17">
        <v>3.1</v>
      </c>
      <c r="J17">
        <v>2.7</v>
      </c>
      <c r="K17">
        <v>2.8</v>
      </c>
      <c r="L17">
        <v>3.1</v>
      </c>
      <c r="M17">
        <v>2.2999999999999998</v>
      </c>
      <c r="N17">
        <v>3.5</v>
      </c>
      <c r="O17">
        <v>2.9</v>
      </c>
    </row>
    <row r="18" spans="1:15" x14ac:dyDescent="0.25">
      <c r="A18" t="s">
        <v>5</v>
      </c>
      <c r="B18" t="s">
        <v>1</v>
      </c>
      <c r="C18">
        <v>40</v>
      </c>
      <c r="D18">
        <v>2</v>
      </c>
      <c r="E18">
        <v>7</v>
      </c>
      <c r="F18">
        <v>3</v>
      </c>
      <c r="G18">
        <v>2.6</v>
      </c>
      <c r="H18">
        <v>3</v>
      </c>
      <c r="I18">
        <v>2.9</v>
      </c>
      <c r="J18">
        <v>3.3</v>
      </c>
      <c r="K18">
        <v>2.7</v>
      </c>
      <c r="L18">
        <v>2.1</v>
      </c>
      <c r="M18">
        <v>3</v>
      </c>
      <c r="N18">
        <v>3.5</v>
      </c>
      <c r="O18">
        <v>3.2</v>
      </c>
    </row>
    <row r="19" spans="1:15" x14ac:dyDescent="0.25">
      <c r="A19" t="s">
        <v>5</v>
      </c>
      <c r="B19" t="s">
        <v>1</v>
      </c>
      <c r="C19">
        <v>40</v>
      </c>
      <c r="D19" t="s">
        <v>7</v>
      </c>
      <c r="E19">
        <v>6.9</v>
      </c>
      <c r="F19">
        <v>2.8</v>
      </c>
      <c r="G19">
        <v>3.7</v>
      </c>
      <c r="H19">
        <v>3.3</v>
      </c>
      <c r="I19">
        <v>2.6</v>
      </c>
      <c r="J19">
        <v>2.8</v>
      </c>
      <c r="K19">
        <v>2.5</v>
      </c>
      <c r="L19">
        <v>3.1</v>
      </c>
      <c r="M19">
        <v>2.2999999999999998</v>
      </c>
      <c r="N19">
        <v>3.5</v>
      </c>
      <c r="O19">
        <v>2.9</v>
      </c>
    </row>
    <row r="20" spans="1:15" x14ac:dyDescent="0.25">
      <c r="A20" t="s">
        <v>5</v>
      </c>
      <c r="B20" t="s">
        <v>1</v>
      </c>
      <c r="C20">
        <v>40</v>
      </c>
      <c r="D20">
        <v>3</v>
      </c>
      <c r="E20">
        <v>6.6</v>
      </c>
      <c r="F20">
        <v>3.2</v>
      </c>
      <c r="G20">
        <v>3.6</v>
      </c>
      <c r="H20">
        <v>3.3</v>
      </c>
      <c r="I20">
        <v>3</v>
      </c>
      <c r="J20">
        <v>2.8</v>
      </c>
      <c r="K20">
        <v>2.8</v>
      </c>
      <c r="L20">
        <v>2.4</v>
      </c>
      <c r="M20">
        <v>2.8</v>
      </c>
      <c r="N20">
        <v>3.2</v>
      </c>
      <c r="O20">
        <v>2.9</v>
      </c>
    </row>
    <row r="21" spans="1:15" x14ac:dyDescent="0.25">
      <c r="A21" t="s">
        <v>5</v>
      </c>
      <c r="B21" t="s">
        <v>8</v>
      </c>
      <c r="C21">
        <v>45</v>
      </c>
      <c r="D21">
        <v>1</v>
      </c>
      <c r="E21" t="s">
        <v>9</v>
      </c>
      <c r="F21" t="s">
        <v>10</v>
      </c>
      <c r="G21" t="s">
        <v>11</v>
      </c>
      <c r="H21" t="s">
        <v>12</v>
      </c>
      <c r="I21" t="s">
        <v>13</v>
      </c>
      <c r="J21" t="s">
        <v>14</v>
      </c>
    </row>
    <row r="22" spans="1:15" x14ac:dyDescent="0.25">
      <c r="A22" t="s">
        <v>5</v>
      </c>
      <c r="B22" t="s">
        <v>8</v>
      </c>
      <c r="C22">
        <v>45</v>
      </c>
      <c r="D22">
        <v>2</v>
      </c>
      <c r="E22">
        <v>3.1</v>
      </c>
      <c r="F22">
        <v>2</v>
      </c>
      <c r="G22">
        <v>1.8</v>
      </c>
      <c r="H22">
        <v>1.4</v>
      </c>
      <c r="I22">
        <v>2.5</v>
      </c>
      <c r="J22">
        <v>2.7</v>
      </c>
      <c r="K22">
        <v>1.7</v>
      </c>
      <c r="L22">
        <v>1.4</v>
      </c>
      <c r="M22">
        <v>1.2</v>
      </c>
      <c r="N22">
        <v>1.3</v>
      </c>
      <c r="O22">
        <v>1.8</v>
      </c>
    </row>
    <row r="23" spans="1:15" x14ac:dyDescent="0.25">
      <c r="A23" t="s">
        <v>5</v>
      </c>
      <c r="B23" t="s">
        <v>8</v>
      </c>
      <c r="C23">
        <v>45</v>
      </c>
      <c r="D23">
        <v>3</v>
      </c>
      <c r="E23">
        <v>4.2</v>
      </c>
      <c r="F23">
        <v>1.6</v>
      </c>
      <c r="G23">
        <v>1.8</v>
      </c>
      <c r="H23">
        <v>2.6</v>
      </c>
      <c r="I23">
        <v>1.9</v>
      </c>
      <c r="J23">
        <v>1.7</v>
      </c>
      <c r="K23">
        <v>1.7</v>
      </c>
      <c r="L23">
        <v>2</v>
      </c>
      <c r="M23">
        <v>2.1</v>
      </c>
      <c r="N23">
        <v>2</v>
      </c>
      <c r="O23">
        <v>2</v>
      </c>
    </row>
    <row r="24" spans="1:15" x14ac:dyDescent="0.25">
      <c r="A24" t="s">
        <v>5</v>
      </c>
      <c r="B24" t="s">
        <v>8</v>
      </c>
      <c r="C24">
        <v>45</v>
      </c>
      <c r="D24">
        <v>4</v>
      </c>
    </row>
    <row r="25" spans="1:15" x14ac:dyDescent="0.25">
      <c r="A25" t="s">
        <v>5</v>
      </c>
      <c r="B25" t="s">
        <v>8</v>
      </c>
      <c r="C25">
        <v>45</v>
      </c>
      <c r="D25">
        <v>5</v>
      </c>
    </row>
    <row r="27" spans="1:15" x14ac:dyDescent="0.25">
      <c r="A27" t="s">
        <v>15</v>
      </c>
      <c r="B27" t="s">
        <v>0</v>
      </c>
      <c r="C27">
        <v>20</v>
      </c>
      <c r="D27">
        <v>1</v>
      </c>
    </row>
    <row r="28" spans="1:15" x14ac:dyDescent="0.25">
      <c r="A28" t="s">
        <v>6</v>
      </c>
      <c r="B28" t="s">
        <v>16</v>
      </c>
      <c r="C28" t="s">
        <v>17</v>
      </c>
      <c r="D28" t="s">
        <v>18</v>
      </c>
      <c r="E28">
        <v>83</v>
      </c>
      <c r="F28">
        <v>50</v>
      </c>
    </row>
    <row r="29" spans="1:15" x14ac:dyDescent="0.25">
      <c r="A29" t="s">
        <v>15</v>
      </c>
      <c r="B29" t="s">
        <v>0</v>
      </c>
      <c r="C29">
        <v>20</v>
      </c>
      <c r="D29">
        <v>2</v>
      </c>
    </row>
    <row r="30" spans="1:15" x14ac:dyDescent="0.25">
      <c r="A30" t="s">
        <v>6</v>
      </c>
      <c r="E30">
        <v>97</v>
      </c>
      <c r="G30">
        <v>103</v>
      </c>
      <c r="H30">
        <v>47</v>
      </c>
    </row>
    <row r="31" spans="1:15" x14ac:dyDescent="0.25">
      <c r="A31" t="s">
        <v>15</v>
      </c>
      <c r="B31" t="s">
        <v>0</v>
      </c>
      <c r="C31">
        <v>40</v>
      </c>
      <c r="D31">
        <v>0</v>
      </c>
      <c r="E31">
        <v>37</v>
      </c>
      <c r="F31">
        <v>20</v>
      </c>
      <c r="G31">
        <v>19</v>
      </c>
      <c r="H31">
        <v>24</v>
      </c>
      <c r="I31">
        <v>20</v>
      </c>
    </row>
    <row r="32" spans="1:15" x14ac:dyDescent="0.25">
      <c r="A32" t="s">
        <v>15</v>
      </c>
      <c r="B32" t="s">
        <v>0</v>
      </c>
      <c r="C32">
        <v>40</v>
      </c>
      <c r="D32">
        <v>1</v>
      </c>
      <c r="E32">
        <v>33</v>
      </c>
      <c r="F32">
        <v>16</v>
      </c>
      <c r="G32">
        <v>20</v>
      </c>
      <c r="H32">
        <v>22</v>
      </c>
      <c r="I32">
        <v>29</v>
      </c>
      <c r="J32">
        <v>36</v>
      </c>
      <c r="K32">
        <v>19</v>
      </c>
      <c r="L32">
        <v>15</v>
      </c>
    </row>
    <row r="33" spans="1:13" x14ac:dyDescent="0.25">
      <c r="A33" t="s">
        <v>15</v>
      </c>
      <c r="B33" t="s">
        <v>0</v>
      </c>
      <c r="C33">
        <v>40</v>
      </c>
      <c r="D33">
        <v>2</v>
      </c>
      <c r="E33">
        <v>35</v>
      </c>
      <c r="F33">
        <v>27</v>
      </c>
      <c r="G33">
        <v>27</v>
      </c>
      <c r="H33">
        <v>15</v>
      </c>
      <c r="I33">
        <v>21</v>
      </c>
      <c r="J33">
        <v>21</v>
      </c>
      <c r="K33">
        <v>16</v>
      </c>
    </row>
    <row r="34" spans="1:13" x14ac:dyDescent="0.25">
      <c r="A34" t="s">
        <v>15</v>
      </c>
      <c r="B34" t="s">
        <v>0</v>
      </c>
      <c r="C34">
        <v>40</v>
      </c>
      <c r="D34">
        <v>3</v>
      </c>
      <c r="E34">
        <v>40</v>
      </c>
      <c r="F34">
        <v>24</v>
      </c>
      <c r="G34">
        <v>25</v>
      </c>
    </row>
    <row r="35" spans="1:13" x14ac:dyDescent="0.25">
      <c r="A35" t="s">
        <v>15</v>
      </c>
      <c r="B35" t="s">
        <v>0</v>
      </c>
      <c r="C35">
        <v>40</v>
      </c>
      <c r="D35">
        <v>4</v>
      </c>
      <c r="E35">
        <v>42</v>
      </c>
      <c r="F35">
        <v>30</v>
      </c>
      <c r="G35">
        <v>18</v>
      </c>
      <c r="H35">
        <v>38</v>
      </c>
      <c r="I35">
        <v>21</v>
      </c>
    </row>
    <row r="36" spans="1:13" x14ac:dyDescent="0.25">
      <c r="A36" t="s">
        <v>15</v>
      </c>
      <c r="B36" t="s">
        <v>0</v>
      </c>
      <c r="C36">
        <v>40</v>
      </c>
      <c r="D36">
        <v>5</v>
      </c>
      <c r="E36">
        <v>47</v>
      </c>
      <c r="F36">
        <v>27</v>
      </c>
      <c r="G36">
        <v>28</v>
      </c>
      <c r="H36">
        <v>27</v>
      </c>
      <c r="I36">
        <v>33</v>
      </c>
      <c r="J36">
        <v>35</v>
      </c>
      <c r="K36">
        <v>30</v>
      </c>
    </row>
    <row r="37" spans="1:13" x14ac:dyDescent="0.25">
      <c r="A37" t="s">
        <v>15</v>
      </c>
      <c r="B37" t="s">
        <v>1</v>
      </c>
      <c r="C37">
        <v>20</v>
      </c>
      <c r="D37">
        <v>1</v>
      </c>
    </row>
    <row r="38" spans="1:13" x14ac:dyDescent="0.25">
      <c r="A38" t="s">
        <v>6</v>
      </c>
      <c r="E38">
        <v>12.2</v>
      </c>
      <c r="F38">
        <v>6.2</v>
      </c>
      <c r="G38">
        <v>5.7</v>
      </c>
      <c r="H38">
        <v>6.2</v>
      </c>
      <c r="I38">
        <v>6.6</v>
      </c>
      <c r="J38">
        <v>6.7</v>
      </c>
      <c r="K38">
        <v>5.5</v>
      </c>
    </row>
    <row r="39" spans="1:13" x14ac:dyDescent="0.25">
      <c r="A39" t="s">
        <v>15</v>
      </c>
      <c r="B39" t="s">
        <v>1</v>
      </c>
      <c r="C39">
        <v>20</v>
      </c>
      <c r="D39">
        <v>2</v>
      </c>
      <c r="E39">
        <v>10.4</v>
      </c>
      <c r="F39">
        <v>6.8</v>
      </c>
      <c r="G39">
        <v>7</v>
      </c>
      <c r="H39">
        <v>5.9</v>
      </c>
      <c r="I39">
        <v>6</v>
      </c>
      <c r="J39">
        <v>6.1</v>
      </c>
      <c r="K39">
        <v>6.2</v>
      </c>
      <c r="L39">
        <v>5.0999999999999996</v>
      </c>
      <c r="M39">
        <v>5</v>
      </c>
    </row>
    <row r="40" spans="1:13" x14ac:dyDescent="0.25">
      <c r="A40" t="s">
        <v>15</v>
      </c>
      <c r="B40" t="s">
        <v>1</v>
      </c>
      <c r="C40">
        <v>20</v>
      </c>
      <c r="D40">
        <v>3</v>
      </c>
      <c r="E40">
        <v>11.3</v>
      </c>
      <c r="F40">
        <v>5.9</v>
      </c>
      <c r="G40">
        <v>7.6</v>
      </c>
      <c r="H40">
        <v>6.4</v>
      </c>
      <c r="I40">
        <v>6.3</v>
      </c>
      <c r="J40">
        <v>6</v>
      </c>
      <c r="K40">
        <v>5.3</v>
      </c>
      <c r="L40">
        <v>6.2</v>
      </c>
      <c r="M40">
        <v>5.4</v>
      </c>
    </row>
    <row r="41" spans="1:13" x14ac:dyDescent="0.25">
      <c r="A41" t="s">
        <v>15</v>
      </c>
      <c r="B41" t="s">
        <v>1</v>
      </c>
      <c r="C41">
        <v>40</v>
      </c>
      <c r="D41">
        <v>1</v>
      </c>
      <c r="E41">
        <v>9.6</v>
      </c>
      <c r="F41">
        <v>3.9</v>
      </c>
      <c r="G41">
        <v>5.2</v>
      </c>
      <c r="H41">
        <v>4.2</v>
      </c>
      <c r="I41">
        <v>5.4</v>
      </c>
      <c r="J41">
        <v>3.7</v>
      </c>
      <c r="K41">
        <v>4.0999999999999996</v>
      </c>
      <c r="L41">
        <v>4.3</v>
      </c>
      <c r="M41">
        <v>3.7</v>
      </c>
    </row>
    <row r="42" spans="1:13" x14ac:dyDescent="0.25">
      <c r="A42" t="s">
        <v>15</v>
      </c>
      <c r="B42" t="s">
        <v>1</v>
      </c>
      <c r="C42">
        <v>40</v>
      </c>
      <c r="D42">
        <v>2</v>
      </c>
      <c r="E42">
        <v>8.9</v>
      </c>
      <c r="F42">
        <v>4.8</v>
      </c>
      <c r="G42">
        <v>5.0999999999999996</v>
      </c>
      <c r="H42">
        <v>5</v>
      </c>
      <c r="I42">
        <v>4.5999999999999996</v>
      </c>
      <c r="J42">
        <v>4</v>
      </c>
      <c r="K42">
        <v>3.9</v>
      </c>
      <c r="L42">
        <v>4.8</v>
      </c>
      <c r="M42">
        <v>3</v>
      </c>
    </row>
    <row r="43" spans="1:13" x14ac:dyDescent="0.25">
      <c r="A43" t="s">
        <v>15</v>
      </c>
      <c r="B43" t="s">
        <v>1</v>
      </c>
      <c r="C43">
        <v>40</v>
      </c>
      <c r="D43">
        <v>3</v>
      </c>
      <c r="E43">
        <v>9.6999999999999993</v>
      </c>
      <c r="F43">
        <v>4.7</v>
      </c>
      <c r="G43">
        <v>5.4</v>
      </c>
      <c r="H43">
        <v>4.3</v>
      </c>
      <c r="I43">
        <v>4.3</v>
      </c>
      <c r="J43">
        <v>5.2</v>
      </c>
      <c r="K43">
        <v>3.7</v>
      </c>
      <c r="L43">
        <v>4.0999999999999996</v>
      </c>
      <c r="M43">
        <v>3.4</v>
      </c>
    </row>
    <row r="44" spans="1:13" x14ac:dyDescent="0.25">
      <c r="A44" t="s">
        <v>15</v>
      </c>
      <c r="B44" t="s">
        <v>8</v>
      </c>
      <c r="C44">
        <v>45</v>
      </c>
      <c r="D44">
        <v>1</v>
      </c>
    </row>
    <row r="45" spans="1:13" x14ac:dyDescent="0.25">
      <c r="A45" t="s">
        <v>15</v>
      </c>
      <c r="B45" t="s">
        <v>8</v>
      </c>
      <c r="C45">
        <v>45</v>
      </c>
      <c r="D45">
        <v>2</v>
      </c>
    </row>
    <row r="46" spans="1:13" x14ac:dyDescent="0.25">
      <c r="A46" t="s">
        <v>15</v>
      </c>
      <c r="B46" t="s">
        <v>8</v>
      </c>
      <c r="C46">
        <v>45</v>
      </c>
      <c r="D46">
        <v>3</v>
      </c>
    </row>
    <row r="47" spans="1:13" x14ac:dyDescent="0.25">
      <c r="A47" t="s">
        <v>15</v>
      </c>
      <c r="B47" t="s">
        <v>8</v>
      </c>
      <c r="C47">
        <v>45</v>
      </c>
      <c r="D47">
        <v>4</v>
      </c>
    </row>
    <row r="48" spans="1:13" x14ac:dyDescent="0.25">
      <c r="A48" t="s">
        <v>15</v>
      </c>
      <c r="B48" t="s">
        <v>8</v>
      </c>
      <c r="C48">
        <v>45</v>
      </c>
      <c r="D48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FlowRate</vt:lpstr>
      <vt:lpstr>Fow Rates Raw</vt:lpstr>
      <vt:lpstr>Annulus_area</vt:lpstr>
      <vt:lpstr>annulus_area2</vt:lpstr>
      <vt:lpstr>blockage_factor</vt:lpstr>
      <vt:lpstr>Density_h20</vt:lpstr>
      <vt:lpstr>density_IPA</vt:lpstr>
      <vt:lpstr>density_LOX</vt:lpstr>
      <vt:lpstr>gal_to_meter</vt:lpstr>
      <vt:lpstr>kl_annulus</vt:lpstr>
      <vt:lpstr>kl_pintle</vt:lpstr>
      <vt:lpstr>Liter_to_meter</vt:lpstr>
      <vt:lpstr>Pintle_Area</vt:lpstr>
      <vt:lpstr>pintle_area2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2019-05-22T01:34:53Z</dcterms:created>
  <dcterms:modified xsi:type="dcterms:W3CDTF">2019-06-17T21:53:04Z</dcterms:modified>
</cp:coreProperties>
</file>