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 defaultThemeVersion="124226"/>
  <xr:revisionPtr revIDLastSave="0" documentId="13_ncr:1_{D5A29A99-5FAC-4D82-AF60-1183FB2C85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-l" sheetId="4" r:id="rId1"/>
    <sheet name="1-ci variant" sheetId="1" r:id="rId2"/>
    <sheet name="2-ci variant" sheetId="5" r:id="rId3"/>
    <sheet name="Şirkətlərin uçot jurnalları" sheetId="6" r:id="rId4"/>
    <sheet name="Müqayisəli tariflər" sheetId="3" r:id="rId5"/>
    <sheet name="Statistika_2016-2018" sheetId="7" r:id="rId6"/>
    <sheet name="Statistika_2016-2018 (65+)" sheetId="8" r:id="rId7"/>
    <sheet name="Yeku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3" i="1"/>
  <c r="S10" i="9" l="1"/>
  <c r="S11" i="9"/>
  <c r="S12" i="9"/>
  <c r="S13" i="9"/>
  <c r="S9" i="9"/>
  <c r="N10" i="9" l="1"/>
  <c r="N11" i="9"/>
  <c r="N12" i="9"/>
  <c r="N13" i="9"/>
  <c r="N9" i="9"/>
  <c r="I10" i="9" l="1"/>
  <c r="I11" i="9"/>
  <c r="T11" i="9" s="1"/>
  <c r="I12" i="9"/>
  <c r="I13" i="9"/>
  <c r="E13" i="9" s="1"/>
  <c r="L13" i="9" s="1"/>
  <c r="M13" i="9" s="1"/>
  <c r="I9" i="9"/>
  <c r="T9" i="9" s="1"/>
  <c r="P10" i="9" l="1"/>
  <c r="T10" i="9"/>
  <c r="O13" i="9"/>
  <c r="U13" i="9"/>
  <c r="P13" i="9"/>
  <c r="T13" i="9"/>
  <c r="J13" i="9"/>
  <c r="P12" i="9"/>
  <c r="T12" i="9"/>
  <c r="J10" i="9"/>
  <c r="J11" i="9"/>
  <c r="P11" i="9"/>
  <c r="J9" i="9"/>
  <c r="P9" i="9"/>
  <c r="E10" i="9"/>
  <c r="L10" i="9" s="1"/>
  <c r="M10" i="9" s="1"/>
  <c r="U10" i="9" s="1"/>
  <c r="E12" i="9"/>
  <c r="L12" i="9" s="1"/>
  <c r="M12" i="9" s="1"/>
  <c r="Q12" i="9" s="1"/>
  <c r="R12" i="9" s="1"/>
  <c r="J12" i="9"/>
  <c r="E11" i="9"/>
  <c r="L11" i="9" s="1"/>
  <c r="M11" i="9" s="1"/>
  <c r="U11" i="9" s="1"/>
  <c r="E9" i="9"/>
  <c r="L9" i="9" s="1"/>
  <c r="M9" i="9" s="1"/>
  <c r="Q11" i="9"/>
  <c r="R11" i="9" s="1"/>
  <c r="Q13" i="9"/>
  <c r="R13" i="9" s="1"/>
  <c r="J17" i="3"/>
  <c r="O10" i="9" l="1"/>
  <c r="Q10" i="9"/>
  <c r="R10" i="9" s="1"/>
  <c r="O12" i="9"/>
  <c r="U12" i="9"/>
  <c r="Q9" i="9"/>
  <c r="R9" i="9" s="1"/>
  <c r="U9" i="9"/>
  <c r="O9" i="9"/>
  <c r="O11" i="9"/>
  <c r="P14" i="9"/>
  <c r="N55" i="3"/>
  <c r="Q13" i="3" s="1"/>
  <c r="N56" i="3"/>
  <c r="Q14" i="3" s="1"/>
  <c r="N57" i="3"/>
  <c r="Q15" i="3" s="1"/>
  <c r="N58" i="3"/>
  <c r="Q16" i="3" s="1"/>
  <c r="N59" i="3"/>
  <c r="N54" i="3"/>
  <c r="Q12" i="3" s="1"/>
  <c r="Q14" i="9" l="1"/>
  <c r="Q17" i="3"/>
  <c r="H13" i="3"/>
  <c r="M13" i="3" s="1"/>
  <c r="N13" i="3" s="1"/>
  <c r="H14" i="3"/>
  <c r="M14" i="3" s="1"/>
  <c r="N14" i="3" s="1"/>
  <c r="H15" i="3"/>
  <c r="M15" i="3" s="1"/>
  <c r="N15" i="3" s="1"/>
  <c r="H16" i="3"/>
  <c r="M16" i="3" s="1"/>
  <c r="N16" i="3" s="1"/>
  <c r="H12" i="3"/>
  <c r="M12" i="3" s="1"/>
  <c r="N12" i="3" s="1"/>
  <c r="P16" i="3" l="1"/>
  <c r="R16" i="3"/>
  <c r="P15" i="3"/>
  <c r="R15" i="3"/>
  <c r="P14" i="3"/>
  <c r="R14" i="3"/>
  <c r="P12" i="3"/>
  <c r="R12" i="3"/>
  <c r="R17" i="3" s="1"/>
  <c r="P13" i="3"/>
  <c r="R13" i="3"/>
  <c r="N50" i="8"/>
  <c r="M50" i="8"/>
  <c r="L50" i="8"/>
  <c r="K50" i="8"/>
  <c r="J50" i="8"/>
  <c r="F50" i="8"/>
  <c r="E50" i="8"/>
  <c r="D50" i="8"/>
  <c r="N49" i="8"/>
  <c r="M49" i="8"/>
  <c r="L49" i="8"/>
  <c r="K49" i="8"/>
  <c r="J49" i="8"/>
  <c r="F49" i="8"/>
  <c r="E49" i="8"/>
  <c r="D49" i="8"/>
  <c r="N48" i="8"/>
  <c r="M48" i="8"/>
  <c r="H48" i="8" s="1"/>
  <c r="L48" i="8"/>
  <c r="K48" i="8"/>
  <c r="J48" i="8"/>
  <c r="F48" i="8"/>
  <c r="E48" i="8"/>
  <c r="D48" i="8"/>
  <c r="N47" i="8"/>
  <c r="M47" i="8"/>
  <c r="L47" i="8"/>
  <c r="K47" i="8"/>
  <c r="J47" i="8"/>
  <c r="F47" i="8"/>
  <c r="E47" i="8"/>
  <c r="D47" i="8"/>
  <c r="N46" i="8"/>
  <c r="M46" i="8"/>
  <c r="L46" i="8"/>
  <c r="K46" i="8"/>
  <c r="J46" i="8"/>
  <c r="F46" i="8"/>
  <c r="E46" i="8"/>
  <c r="D46" i="8"/>
  <c r="N45" i="8"/>
  <c r="M45" i="8"/>
  <c r="L45" i="8"/>
  <c r="L51" i="8" s="1"/>
  <c r="K45" i="8"/>
  <c r="J45" i="8"/>
  <c r="F45" i="8"/>
  <c r="E45" i="8"/>
  <c r="D45" i="8"/>
  <c r="D51" i="8" s="1"/>
  <c r="N39" i="8"/>
  <c r="M39" i="8"/>
  <c r="H39" i="8" s="1"/>
  <c r="L39" i="8"/>
  <c r="K39" i="8"/>
  <c r="J39" i="8"/>
  <c r="F39" i="8"/>
  <c r="E39" i="8"/>
  <c r="D39" i="8"/>
  <c r="H38" i="8"/>
  <c r="G38" i="8"/>
  <c r="I38" i="8" s="1"/>
  <c r="H37" i="8"/>
  <c r="G37" i="8"/>
  <c r="I37" i="8" s="1"/>
  <c r="H36" i="8"/>
  <c r="G36" i="8"/>
  <c r="H35" i="8"/>
  <c r="G35" i="8"/>
  <c r="I35" i="8" s="1"/>
  <c r="H34" i="8"/>
  <c r="G34" i="8"/>
  <c r="I34" i="8" s="1"/>
  <c r="H33" i="8"/>
  <c r="G33" i="8"/>
  <c r="I33" i="8" s="1"/>
  <c r="N28" i="8"/>
  <c r="M28" i="8"/>
  <c r="L28" i="8"/>
  <c r="K28" i="8"/>
  <c r="J28" i="8"/>
  <c r="F28" i="8"/>
  <c r="E28" i="8"/>
  <c r="D28" i="8"/>
  <c r="H27" i="8"/>
  <c r="G27" i="8"/>
  <c r="I27" i="8" s="1"/>
  <c r="H26" i="8"/>
  <c r="G26" i="8"/>
  <c r="I26" i="8" s="1"/>
  <c r="H25" i="8"/>
  <c r="G25" i="8"/>
  <c r="I25" i="8" s="1"/>
  <c r="H24" i="8"/>
  <c r="G24" i="8"/>
  <c r="I24" i="8" s="1"/>
  <c r="H23" i="8"/>
  <c r="G23" i="8"/>
  <c r="I23" i="8" s="1"/>
  <c r="H22" i="8"/>
  <c r="G22" i="8"/>
  <c r="I22" i="8" s="1"/>
  <c r="N17" i="8"/>
  <c r="M17" i="8"/>
  <c r="L17" i="8"/>
  <c r="K17" i="8"/>
  <c r="J17" i="8"/>
  <c r="F17" i="8"/>
  <c r="E17" i="8"/>
  <c r="D17" i="8"/>
  <c r="H16" i="8"/>
  <c r="G16" i="8"/>
  <c r="H15" i="8"/>
  <c r="G15" i="8"/>
  <c r="G49" i="8" s="1"/>
  <c r="H14" i="8"/>
  <c r="G14" i="8"/>
  <c r="I14" i="8" s="1"/>
  <c r="H13" i="8"/>
  <c r="G13" i="8"/>
  <c r="I13" i="8" s="1"/>
  <c r="H12" i="8"/>
  <c r="G12" i="8"/>
  <c r="H11" i="8"/>
  <c r="G11" i="8"/>
  <c r="G45" i="8" s="1"/>
  <c r="J16" i="7"/>
  <c r="H28" i="8" l="1"/>
  <c r="H45" i="8"/>
  <c r="H49" i="8"/>
  <c r="G50" i="8"/>
  <c r="I50" i="8" s="1"/>
  <c r="H17" i="8"/>
  <c r="E51" i="8"/>
  <c r="K51" i="8"/>
  <c r="H50" i="8"/>
  <c r="G46" i="8"/>
  <c r="I49" i="8"/>
  <c r="G28" i="8"/>
  <c r="I28" i="8" s="1"/>
  <c r="G48" i="8"/>
  <c r="I48" i="8" s="1"/>
  <c r="M51" i="8"/>
  <c r="H46" i="8"/>
  <c r="F51" i="8"/>
  <c r="J51" i="8"/>
  <c r="G39" i="8"/>
  <c r="I39" i="8" s="1"/>
  <c r="I46" i="8"/>
  <c r="G47" i="8"/>
  <c r="I47" i="8" s="1"/>
  <c r="I12" i="8"/>
  <c r="I16" i="8"/>
  <c r="G17" i="8"/>
  <c r="I17" i="8" s="1"/>
  <c r="I36" i="8"/>
  <c r="H47" i="8"/>
  <c r="N51" i="8"/>
  <c r="I45" i="8"/>
  <c r="I11" i="8"/>
  <c r="I15" i="8"/>
  <c r="N44" i="7"/>
  <c r="N45" i="7"/>
  <c r="N46" i="7"/>
  <c r="N43" i="7"/>
  <c r="N42" i="7"/>
  <c r="M44" i="7"/>
  <c r="M45" i="7"/>
  <c r="M46" i="7"/>
  <c r="M43" i="7"/>
  <c r="M42" i="7"/>
  <c r="M47" i="7" l="1"/>
  <c r="N47" i="7"/>
  <c r="G51" i="8"/>
  <c r="I51" i="8" s="1"/>
  <c r="H51" i="8"/>
  <c r="L44" i="7"/>
  <c r="L45" i="7"/>
  <c r="L46" i="7"/>
  <c r="L43" i="7"/>
  <c r="L42" i="7"/>
  <c r="K44" i="7"/>
  <c r="K45" i="7"/>
  <c r="K46" i="7"/>
  <c r="K43" i="7"/>
  <c r="K42" i="7"/>
  <c r="J44" i="7"/>
  <c r="J45" i="7"/>
  <c r="J46" i="7"/>
  <c r="J43" i="7"/>
  <c r="J42" i="7"/>
  <c r="F44" i="7"/>
  <c r="F45" i="7"/>
  <c r="F46" i="7"/>
  <c r="F43" i="7"/>
  <c r="F42" i="7"/>
  <c r="E44" i="7"/>
  <c r="H44" i="7" s="1"/>
  <c r="E45" i="7"/>
  <c r="H45" i="7" s="1"/>
  <c r="E46" i="7"/>
  <c r="H46" i="7" s="1"/>
  <c r="E43" i="7"/>
  <c r="H43" i="7" s="1"/>
  <c r="E42" i="7"/>
  <c r="H42" i="7" s="1"/>
  <c r="D44" i="7"/>
  <c r="D45" i="7"/>
  <c r="D46" i="7"/>
  <c r="D43" i="7"/>
  <c r="D42" i="7"/>
  <c r="H33" i="7"/>
  <c r="H34" i="7"/>
  <c r="H35" i="7"/>
  <c r="H32" i="7"/>
  <c r="H31" i="7"/>
  <c r="H13" i="7"/>
  <c r="H14" i="7"/>
  <c r="H15" i="7"/>
  <c r="H12" i="7"/>
  <c r="H11" i="7"/>
  <c r="H23" i="7"/>
  <c r="H24" i="7"/>
  <c r="H25" i="7"/>
  <c r="H22" i="7"/>
  <c r="H21" i="7"/>
  <c r="N36" i="7"/>
  <c r="M36" i="7"/>
  <c r="L36" i="7"/>
  <c r="K36" i="7"/>
  <c r="J36" i="7"/>
  <c r="F36" i="7"/>
  <c r="E36" i="7"/>
  <c r="D36" i="7"/>
  <c r="G32" i="7"/>
  <c r="I32" i="7" s="1"/>
  <c r="G33" i="7"/>
  <c r="I33" i="7" s="1"/>
  <c r="G34" i="7"/>
  <c r="I34" i="7" s="1"/>
  <c r="G35" i="7"/>
  <c r="I35" i="7" s="1"/>
  <c r="G31" i="7"/>
  <c r="I31" i="7" s="1"/>
  <c r="D47" i="7" l="1"/>
  <c r="E47" i="7"/>
  <c r="H47" i="7" s="1"/>
  <c r="K47" i="7"/>
  <c r="G36" i="7"/>
  <c r="I36" i="7" s="1"/>
  <c r="H36" i="7"/>
  <c r="F47" i="7"/>
  <c r="L47" i="7"/>
  <c r="J47" i="7"/>
  <c r="N26" i="7"/>
  <c r="M26" i="7"/>
  <c r="L26" i="7"/>
  <c r="K26" i="7"/>
  <c r="J26" i="7"/>
  <c r="F26" i="7"/>
  <c r="E26" i="7"/>
  <c r="D26" i="7"/>
  <c r="H26" i="7" l="1"/>
  <c r="G22" i="7"/>
  <c r="I22" i="7" s="1"/>
  <c r="G23" i="7"/>
  <c r="I23" i="7" s="1"/>
  <c r="G24" i="7"/>
  <c r="I24" i="7" s="1"/>
  <c r="G25" i="7"/>
  <c r="I25" i="7" s="1"/>
  <c r="G21" i="7"/>
  <c r="I21" i="7" l="1"/>
  <c r="G26" i="7"/>
  <c r="I26" i="7" s="1"/>
  <c r="M16" i="7"/>
  <c r="L16" i="7"/>
  <c r="G12" i="7"/>
  <c r="G13" i="7"/>
  <c r="G14" i="7"/>
  <c r="G15" i="7"/>
  <c r="G11" i="7"/>
  <c r="G45" i="7" l="1"/>
  <c r="I45" i="7" s="1"/>
  <c r="I14" i="7"/>
  <c r="G46" i="7"/>
  <c r="I46" i="7" s="1"/>
  <c r="I15" i="7"/>
  <c r="I11" i="7"/>
  <c r="G42" i="7"/>
  <c r="G44" i="7"/>
  <c r="I44" i="7" s="1"/>
  <c r="I13" i="7"/>
  <c r="I12" i="7"/>
  <c r="G43" i="7"/>
  <c r="I43" i="7" s="1"/>
  <c r="N16" i="7"/>
  <c r="K16" i="7"/>
  <c r="F16" i="7"/>
  <c r="E16" i="7"/>
  <c r="D16" i="7"/>
  <c r="H16" i="7" l="1"/>
  <c r="G47" i="7"/>
  <c r="I47" i="7" s="1"/>
  <c r="I42" i="7"/>
  <c r="G16" i="7"/>
  <c r="I16" i="7" s="1"/>
  <c r="G55" i="3"/>
  <c r="G56" i="3"/>
  <c r="G57" i="3"/>
  <c r="G58" i="3"/>
  <c r="G59" i="3"/>
  <c r="G54" i="3"/>
  <c r="K60" i="3"/>
  <c r="F55" i="3"/>
  <c r="H55" i="3" s="1"/>
  <c r="K13" i="3" s="1"/>
  <c r="F56" i="3"/>
  <c r="H56" i="3" s="1"/>
  <c r="K14" i="3" s="1"/>
  <c r="F57" i="3"/>
  <c r="H57" i="3" s="1"/>
  <c r="K15" i="3" s="1"/>
  <c r="F58" i="3"/>
  <c r="H58" i="3" s="1"/>
  <c r="K16" i="3" s="1"/>
  <c r="F59" i="3"/>
  <c r="H59" i="3" s="1"/>
  <c r="F54" i="3"/>
  <c r="H54" i="3" s="1"/>
  <c r="K12" i="3" s="1"/>
  <c r="E60" i="3"/>
  <c r="C60" i="3"/>
  <c r="L60" i="3"/>
  <c r="K27" i="3"/>
  <c r="M60" i="3" l="1"/>
  <c r="J60" i="3"/>
  <c r="I60" i="3"/>
  <c r="F60" i="3"/>
  <c r="D60" i="3"/>
  <c r="G60" i="3" l="1"/>
  <c r="H60" i="3"/>
  <c r="K38" i="3" l="1"/>
  <c r="K49" i="3" l="1"/>
  <c r="G44" i="3"/>
  <c r="G45" i="3"/>
  <c r="G46" i="3"/>
  <c r="G47" i="3"/>
  <c r="G48" i="3"/>
  <c r="G43" i="3"/>
  <c r="F44" i="3"/>
  <c r="H44" i="3" s="1"/>
  <c r="F45" i="3"/>
  <c r="H45" i="3" s="1"/>
  <c r="F46" i="3"/>
  <c r="H46" i="3" s="1"/>
  <c r="F47" i="3"/>
  <c r="H47" i="3" s="1"/>
  <c r="F48" i="3"/>
  <c r="H48" i="3" s="1"/>
  <c r="F43" i="3"/>
  <c r="H43" i="3" s="1"/>
  <c r="M49" i="3" l="1"/>
  <c r="L49" i="3"/>
  <c r="J49" i="3"/>
  <c r="I49" i="3"/>
  <c r="E49" i="3"/>
  <c r="D49" i="3"/>
  <c r="C49" i="3"/>
  <c r="G33" i="3"/>
  <c r="G34" i="3"/>
  <c r="G35" i="3"/>
  <c r="G36" i="3"/>
  <c r="G37" i="3"/>
  <c r="G32" i="3"/>
  <c r="F33" i="3"/>
  <c r="H33" i="3" s="1"/>
  <c r="F34" i="3"/>
  <c r="H34" i="3" s="1"/>
  <c r="F35" i="3"/>
  <c r="H35" i="3" s="1"/>
  <c r="F36" i="3"/>
  <c r="H36" i="3" s="1"/>
  <c r="F37" i="3"/>
  <c r="H37" i="3" s="1"/>
  <c r="F32" i="3"/>
  <c r="H32" i="3" s="1"/>
  <c r="D38" i="3"/>
  <c r="C38" i="3"/>
  <c r="F49" i="3" l="1"/>
  <c r="H49" i="3" s="1"/>
  <c r="G49" i="3"/>
  <c r="M38" i="3" l="1"/>
  <c r="L38" i="3"/>
  <c r="J38" i="3"/>
  <c r="I38" i="3"/>
  <c r="E38" i="3"/>
  <c r="F38" i="3"/>
  <c r="G22" i="3"/>
  <c r="G23" i="3"/>
  <c r="G24" i="3"/>
  <c r="G25" i="3"/>
  <c r="G26" i="3"/>
  <c r="G21" i="3"/>
  <c r="M27" i="3"/>
  <c r="L27" i="3"/>
  <c r="J27" i="3"/>
  <c r="I27" i="3"/>
  <c r="F22" i="3"/>
  <c r="H22" i="3" s="1"/>
  <c r="F23" i="3"/>
  <c r="H23" i="3" s="1"/>
  <c r="F24" i="3"/>
  <c r="H24" i="3" s="1"/>
  <c r="F25" i="3"/>
  <c r="H25" i="3" s="1"/>
  <c r="F26" i="3"/>
  <c r="H26" i="3" s="1"/>
  <c r="F21" i="3"/>
  <c r="H21" i="3" s="1"/>
  <c r="E27" i="3"/>
  <c r="D27" i="3"/>
  <c r="C27" i="3"/>
  <c r="G27" i="3" l="1"/>
  <c r="G38" i="3"/>
  <c r="F27" i="3"/>
  <c r="H27" i="3" s="1"/>
  <c r="H38" i="3"/>
  <c r="M17" i="5" l="1"/>
  <c r="M16" i="5"/>
  <c r="M15" i="5"/>
  <c r="M14" i="5"/>
  <c r="M13" i="5"/>
  <c r="P11" i="6" l="1"/>
  <c r="P12" i="6"/>
  <c r="P13" i="6"/>
  <c r="P14" i="6"/>
  <c r="P10" i="6"/>
  <c r="U15" i="6"/>
  <c r="Y29" i="6"/>
  <c r="Y30" i="6"/>
  <c r="Y31" i="6"/>
  <c r="Y32" i="6"/>
  <c r="Y28" i="6"/>
  <c r="T15" i="6"/>
  <c r="X29" i="6"/>
  <c r="X30" i="6"/>
  <c r="X31" i="6"/>
  <c r="X32" i="6"/>
  <c r="X28" i="6"/>
  <c r="R15" i="6"/>
  <c r="Y22" i="6"/>
  <c r="Y23" i="6"/>
  <c r="Y24" i="6"/>
  <c r="Y25" i="6"/>
  <c r="Y21" i="6"/>
  <c r="X22" i="6"/>
  <c r="X23" i="6"/>
  <c r="X24" i="6"/>
  <c r="X25" i="6"/>
  <c r="X21" i="6"/>
  <c r="O11" i="6"/>
  <c r="Q11" i="6" s="1"/>
  <c r="O12" i="6"/>
  <c r="Q12" i="6" s="1"/>
  <c r="O13" i="6"/>
  <c r="Q13" i="6" s="1"/>
  <c r="O14" i="6"/>
  <c r="Q14" i="6" s="1"/>
  <c r="O10" i="6"/>
  <c r="Q10" i="6" s="1"/>
  <c r="N15" i="6"/>
  <c r="P35" i="6"/>
  <c r="P36" i="6"/>
  <c r="P37" i="6"/>
  <c r="P38" i="6"/>
  <c r="P34" i="6"/>
  <c r="M15" i="6"/>
  <c r="O15" i="6" s="1"/>
  <c r="P29" i="6"/>
  <c r="P30" i="6"/>
  <c r="P31" i="6"/>
  <c r="P32" i="6"/>
  <c r="P28" i="6"/>
  <c r="L15" i="6"/>
  <c r="P22" i="6"/>
  <c r="P23" i="6"/>
  <c r="P24" i="6"/>
  <c r="P25" i="6"/>
  <c r="P21" i="6"/>
  <c r="Q15" i="6" l="1"/>
  <c r="P15" i="6"/>
  <c r="K32" i="5"/>
  <c r="K37" i="5" s="1"/>
  <c r="K31" i="5"/>
  <c r="K36" i="5" s="1"/>
  <c r="K30" i="5"/>
  <c r="K35" i="5" s="1"/>
  <c r="K29" i="5"/>
  <c r="K34" i="5" s="1"/>
  <c r="G15" i="6"/>
  <c r="H15" i="6" s="1"/>
  <c r="G12" i="6"/>
  <c r="H12" i="6" s="1"/>
  <c r="G8" i="6"/>
  <c r="H8" i="6" s="1"/>
  <c r="H18" i="6" l="1"/>
  <c r="K21" i="5" l="1"/>
  <c r="K25" i="5" s="1"/>
  <c r="K20" i="5"/>
  <c r="K24" i="5" s="1"/>
  <c r="K19" i="5"/>
  <c r="K23" i="5" s="1"/>
  <c r="J13" i="5" l="1"/>
  <c r="J15" i="5" s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Y5" i="4"/>
  <c r="AA5" i="4" s="1"/>
  <c r="Y6" i="4"/>
  <c r="AA6" i="4" s="1"/>
  <c r="Y7" i="4"/>
  <c r="AA7" i="4" s="1"/>
  <c r="Y8" i="4"/>
  <c r="AA8" i="4" s="1"/>
  <c r="Y9" i="4"/>
  <c r="AA9" i="4" s="1"/>
  <c r="Y10" i="4"/>
  <c r="AA10" i="4" s="1"/>
  <c r="Y11" i="4"/>
  <c r="AA11" i="4" s="1"/>
  <c r="Y12" i="4"/>
  <c r="AA12" i="4" s="1"/>
  <c r="Y13" i="4"/>
  <c r="AA13" i="4" s="1"/>
  <c r="Y14" i="4"/>
  <c r="AA14" i="4" s="1"/>
  <c r="Y15" i="4"/>
  <c r="AA15" i="4" s="1"/>
  <c r="Y16" i="4"/>
  <c r="AA16" i="4" s="1"/>
  <c r="Y17" i="4"/>
  <c r="AA17" i="4" s="1"/>
  <c r="Y18" i="4"/>
  <c r="AA18" i="4" s="1"/>
  <c r="Y19" i="4"/>
  <c r="AA19" i="4" s="1"/>
  <c r="Y20" i="4"/>
  <c r="AA20" i="4" s="1"/>
  <c r="Y21" i="4"/>
  <c r="AA21" i="4" s="1"/>
  <c r="Y22" i="4"/>
  <c r="AA22" i="4" s="1"/>
  <c r="Y23" i="4"/>
  <c r="AA23" i="4" s="1"/>
  <c r="Y24" i="4"/>
  <c r="AA24" i="4" s="1"/>
  <c r="Y25" i="4"/>
  <c r="AA25" i="4" s="1"/>
  <c r="Y26" i="4"/>
  <c r="AA26" i="4" s="1"/>
  <c r="Y27" i="4"/>
  <c r="AA27" i="4" s="1"/>
  <c r="Y28" i="4"/>
  <c r="AA28" i="4" s="1"/>
  <c r="Y29" i="4"/>
  <c r="AA29" i="4" s="1"/>
  <c r="Y30" i="4"/>
  <c r="AA30" i="4" s="1"/>
  <c r="Y31" i="4"/>
  <c r="AA31" i="4" s="1"/>
  <c r="Y32" i="4"/>
  <c r="AA32" i="4" s="1"/>
  <c r="Y33" i="4"/>
  <c r="AA33" i="4" s="1"/>
  <c r="Y34" i="4"/>
  <c r="AA34" i="4" s="1"/>
  <c r="Y35" i="4"/>
  <c r="AA35" i="4" s="1"/>
  <c r="Y36" i="4"/>
  <c r="AA36" i="4" s="1"/>
  <c r="Y37" i="4"/>
  <c r="AA37" i="4" s="1"/>
  <c r="Y38" i="4"/>
  <c r="AA38" i="4" s="1"/>
  <c r="Y39" i="4"/>
  <c r="AA39" i="4" s="1"/>
  <c r="Y40" i="4"/>
  <c r="AA40" i="4" s="1"/>
  <c r="Y41" i="4"/>
  <c r="AA41" i="4" s="1"/>
  <c r="Y42" i="4"/>
  <c r="AA42" i="4" s="1"/>
  <c r="Y43" i="4"/>
  <c r="AA43" i="4" s="1"/>
  <c r="Y44" i="4"/>
  <c r="AA44" i="4" s="1"/>
  <c r="Y45" i="4"/>
  <c r="AA45" i="4" s="1"/>
  <c r="Y46" i="4"/>
  <c r="AA46" i="4" s="1"/>
  <c r="Y47" i="4"/>
  <c r="AA47" i="4" s="1"/>
  <c r="Y48" i="4"/>
  <c r="AA48" i="4" s="1"/>
  <c r="Y49" i="4"/>
  <c r="AA49" i="4" s="1"/>
  <c r="Y50" i="4"/>
  <c r="AA50" i="4" s="1"/>
  <c r="Y4" i="4"/>
  <c r="AA4" i="4" s="1"/>
  <c r="Y3" i="4"/>
  <c r="O18" i="1" l="1"/>
  <c r="P18" i="1" s="1"/>
  <c r="H18" i="1"/>
  <c r="O30" i="1"/>
  <c r="P30" i="1" s="1"/>
  <c r="H30" i="1"/>
  <c r="O38" i="1"/>
  <c r="P38" i="1" s="1"/>
  <c r="H38" i="1"/>
  <c r="O46" i="1"/>
  <c r="P46" i="1" s="1"/>
  <c r="H46" i="1"/>
  <c r="O58" i="1"/>
  <c r="P58" i="1" s="1"/>
  <c r="H58" i="1"/>
  <c r="O15" i="1"/>
  <c r="P15" i="1" s="1"/>
  <c r="H15" i="1"/>
  <c r="O19" i="1"/>
  <c r="P19" i="1" s="1"/>
  <c r="H19" i="1"/>
  <c r="O23" i="1"/>
  <c r="P23" i="1" s="1"/>
  <c r="H23" i="1"/>
  <c r="O27" i="1"/>
  <c r="P27" i="1" s="1"/>
  <c r="H27" i="1"/>
  <c r="O31" i="1"/>
  <c r="H31" i="1"/>
  <c r="O35" i="1"/>
  <c r="P35" i="1" s="1"/>
  <c r="H35" i="1"/>
  <c r="O39" i="1"/>
  <c r="P39" i="1" s="1"/>
  <c r="H39" i="1"/>
  <c r="O43" i="1"/>
  <c r="P43" i="1" s="1"/>
  <c r="H43" i="1"/>
  <c r="O47" i="1"/>
  <c r="P47" i="1" s="1"/>
  <c r="H47" i="1"/>
  <c r="O51" i="1"/>
  <c r="H51" i="1"/>
  <c r="O55" i="1"/>
  <c r="P55" i="1" s="1"/>
  <c r="H55" i="1"/>
  <c r="O59" i="1"/>
  <c r="P59" i="1" s="1"/>
  <c r="H59" i="1"/>
  <c r="O22" i="1"/>
  <c r="P22" i="1" s="1"/>
  <c r="H22" i="1"/>
  <c r="O34" i="1"/>
  <c r="P34" i="1" s="1"/>
  <c r="H34" i="1"/>
  <c r="O54" i="1"/>
  <c r="P54" i="1" s="1"/>
  <c r="H54" i="1"/>
  <c r="O16" i="1"/>
  <c r="P16" i="1" s="1"/>
  <c r="H16" i="1"/>
  <c r="O20" i="1"/>
  <c r="P20" i="1" s="1"/>
  <c r="H20" i="1"/>
  <c r="O24" i="1"/>
  <c r="P24" i="1" s="1"/>
  <c r="H24" i="1"/>
  <c r="O28" i="1"/>
  <c r="P28" i="1" s="1"/>
  <c r="H28" i="1"/>
  <c r="O32" i="1"/>
  <c r="P32" i="1" s="1"/>
  <c r="H32" i="1"/>
  <c r="O36" i="1"/>
  <c r="P36" i="1" s="1"/>
  <c r="H36" i="1"/>
  <c r="O40" i="1"/>
  <c r="P40" i="1" s="1"/>
  <c r="H40" i="1"/>
  <c r="O44" i="1"/>
  <c r="P44" i="1" s="1"/>
  <c r="H44" i="1"/>
  <c r="O48" i="1"/>
  <c r="P48" i="1" s="1"/>
  <c r="H48" i="1"/>
  <c r="O52" i="1"/>
  <c r="P52" i="1" s="1"/>
  <c r="H52" i="1"/>
  <c r="O56" i="1"/>
  <c r="P56" i="1" s="1"/>
  <c r="H56" i="1"/>
  <c r="O60" i="1"/>
  <c r="P60" i="1" s="1"/>
  <c r="H60" i="1"/>
  <c r="O14" i="1"/>
  <c r="P14" i="1" s="1"/>
  <c r="H14" i="1"/>
  <c r="O26" i="1"/>
  <c r="P26" i="1" s="1"/>
  <c r="H26" i="1"/>
  <c r="O42" i="1"/>
  <c r="P42" i="1" s="1"/>
  <c r="H42" i="1"/>
  <c r="O50" i="1"/>
  <c r="P50" i="1" s="1"/>
  <c r="H50" i="1"/>
  <c r="O13" i="1"/>
  <c r="H13" i="1"/>
  <c r="O17" i="1"/>
  <c r="P17" i="1" s="1"/>
  <c r="H17" i="1"/>
  <c r="O21" i="1"/>
  <c r="H21" i="1"/>
  <c r="O25" i="1"/>
  <c r="P25" i="1" s="1"/>
  <c r="H25" i="1"/>
  <c r="O29" i="1"/>
  <c r="P29" i="1" s="1"/>
  <c r="H29" i="1"/>
  <c r="O33" i="1"/>
  <c r="P33" i="1" s="1"/>
  <c r="H33" i="1"/>
  <c r="O37" i="1"/>
  <c r="P37" i="1" s="1"/>
  <c r="H37" i="1"/>
  <c r="O41" i="1"/>
  <c r="H41" i="1"/>
  <c r="O45" i="1"/>
  <c r="P45" i="1" s="1"/>
  <c r="H45" i="1"/>
  <c r="O49" i="1"/>
  <c r="P49" i="1" s="1"/>
  <c r="H49" i="1"/>
  <c r="O53" i="1"/>
  <c r="P53" i="1" s="1"/>
  <c r="H53" i="1"/>
  <c r="O57" i="1"/>
  <c r="P57" i="1" s="1"/>
  <c r="H57" i="1"/>
  <c r="K21" i="1"/>
  <c r="K25" i="1" s="1"/>
  <c r="K19" i="1"/>
  <c r="K23" i="1" s="1"/>
  <c r="M15" i="1"/>
  <c r="M17" i="1"/>
  <c r="K31" i="1"/>
  <c r="K36" i="1" s="1"/>
  <c r="K30" i="1"/>
  <c r="K35" i="1" s="1"/>
  <c r="K32" i="1"/>
  <c r="K37" i="1" s="1"/>
  <c r="K20" i="1"/>
  <c r="K24" i="1" s="1"/>
  <c r="M13" i="1"/>
  <c r="K29" i="1"/>
  <c r="K34" i="1" s="1"/>
  <c r="M14" i="1"/>
  <c r="M16" i="1"/>
  <c r="J13" i="1"/>
  <c r="J15" i="1" s="1"/>
  <c r="V165" i="4"/>
  <c r="G120" i="4"/>
  <c r="H120" i="4" s="1"/>
  <c r="I120" i="4" s="1"/>
  <c r="G119" i="4"/>
  <c r="H119" i="4" s="1"/>
  <c r="I119" i="4" s="1"/>
  <c r="G118" i="4"/>
  <c r="H118" i="4" s="1"/>
  <c r="I118" i="4" s="1"/>
  <c r="G117" i="4"/>
  <c r="H117" i="4" s="1"/>
  <c r="I117" i="4" s="1"/>
  <c r="G116" i="4"/>
  <c r="H116" i="4" s="1"/>
  <c r="I116" i="4" s="1"/>
  <c r="G115" i="4"/>
  <c r="H115" i="4" s="1"/>
  <c r="I115" i="4" s="1"/>
  <c r="G114" i="4"/>
  <c r="H114" i="4" s="1"/>
  <c r="I114" i="4" s="1"/>
  <c r="G113" i="4"/>
  <c r="H113" i="4" s="1"/>
  <c r="I113" i="4" s="1"/>
  <c r="G112" i="4"/>
  <c r="H112" i="4" s="1"/>
  <c r="I112" i="4" s="1"/>
  <c r="G111" i="4"/>
  <c r="H111" i="4" s="1"/>
  <c r="I111" i="4" s="1"/>
  <c r="G110" i="4"/>
  <c r="H110" i="4" s="1"/>
  <c r="I110" i="4" s="1"/>
  <c r="G109" i="4"/>
  <c r="H109" i="4" s="1"/>
  <c r="I109" i="4" s="1"/>
  <c r="G108" i="4"/>
  <c r="H108" i="4" s="1"/>
  <c r="I108" i="4" s="1"/>
  <c r="G107" i="4"/>
  <c r="H107" i="4" s="1"/>
  <c r="I107" i="4" s="1"/>
  <c r="G106" i="4"/>
  <c r="H106" i="4" s="1"/>
  <c r="I106" i="4" s="1"/>
  <c r="G105" i="4"/>
  <c r="H105" i="4" s="1"/>
  <c r="I105" i="4" s="1"/>
  <c r="G104" i="4"/>
  <c r="H104" i="4" s="1"/>
  <c r="I104" i="4" s="1"/>
  <c r="G103" i="4"/>
  <c r="H103" i="4" s="1"/>
  <c r="I103" i="4" s="1"/>
  <c r="G102" i="4"/>
  <c r="H102" i="4" s="1"/>
  <c r="I102" i="4" s="1"/>
  <c r="G101" i="4"/>
  <c r="H101" i="4" s="1"/>
  <c r="I101" i="4" s="1"/>
  <c r="G100" i="4"/>
  <c r="H100" i="4" s="1"/>
  <c r="I100" i="4" s="1"/>
  <c r="G99" i="4"/>
  <c r="H99" i="4" s="1"/>
  <c r="I99" i="4" s="1"/>
  <c r="G98" i="4"/>
  <c r="H98" i="4" s="1"/>
  <c r="I98" i="4" s="1"/>
  <c r="G97" i="4"/>
  <c r="H97" i="4" s="1"/>
  <c r="I97" i="4" s="1"/>
  <c r="G96" i="4"/>
  <c r="H96" i="4" s="1"/>
  <c r="I96" i="4" s="1"/>
  <c r="G95" i="4"/>
  <c r="H95" i="4" s="1"/>
  <c r="I95" i="4" s="1"/>
  <c r="G94" i="4"/>
  <c r="H94" i="4" s="1"/>
  <c r="I94" i="4" s="1"/>
  <c r="G93" i="4"/>
  <c r="H93" i="4" s="1"/>
  <c r="I93" i="4" s="1"/>
  <c r="G92" i="4"/>
  <c r="H92" i="4" s="1"/>
  <c r="I92" i="4" s="1"/>
  <c r="G91" i="4"/>
  <c r="H91" i="4" s="1"/>
  <c r="I91" i="4" s="1"/>
  <c r="G90" i="4"/>
  <c r="H90" i="4" s="1"/>
  <c r="I90" i="4" s="1"/>
  <c r="G89" i="4"/>
  <c r="H89" i="4" s="1"/>
  <c r="I89" i="4" s="1"/>
  <c r="G88" i="4"/>
  <c r="H88" i="4" s="1"/>
  <c r="I88" i="4" s="1"/>
  <c r="G87" i="4"/>
  <c r="H87" i="4" s="1"/>
  <c r="I87" i="4" s="1"/>
  <c r="G86" i="4"/>
  <c r="H86" i="4" s="1"/>
  <c r="I86" i="4" s="1"/>
  <c r="G85" i="4"/>
  <c r="H85" i="4" s="1"/>
  <c r="I85" i="4" s="1"/>
  <c r="G84" i="4"/>
  <c r="H84" i="4" s="1"/>
  <c r="I84" i="4" s="1"/>
  <c r="G83" i="4"/>
  <c r="H83" i="4" s="1"/>
  <c r="I83" i="4" s="1"/>
  <c r="G82" i="4"/>
  <c r="H82" i="4" s="1"/>
  <c r="I82" i="4" s="1"/>
  <c r="G81" i="4"/>
  <c r="H81" i="4" s="1"/>
  <c r="I81" i="4" s="1"/>
  <c r="G80" i="4"/>
  <c r="H80" i="4" s="1"/>
  <c r="I80" i="4" s="1"/>
  <c r="G79" i="4"/>
  <c r="H79" i="4" s="1"/>
  <c r="I79" i="4" s="1"/>
  <c r="G78" i="4"/>
  <c r="H78" i="4" s="1"/>
  <c r="I78" i="4" s="1"/>
  <c r="G77" i="4"/>
  <c r="H77" i="4" s="1"/>
  <c r="I77" i="4" s="1"/>
  <c r="G76" i="4"/>
  <c r="H76" i="4" s="1"/>
  <c r="I76" i="4" s="1"/>
  <c r="G75" i="4"/>
  <c r="H75" i="4" s="1"/>
  <c r="I75" i="4" s="1"/>
  <c r="G74" i="4"/>
  <c r="H74" i="4" s="1"/>
  <c r="I74" i="4" s="1"/>
  <c r="G73" i="4"/>
  <c r="H73" i="4" s="1"/>
  <c r="I73" i="4" s="1"/>
  <c r="G72" i="4"/>
  <c r="H72" i="4" s="1"/>
  <c r="I72" i="4" s="1"/>
  <c r="G71" i="4"/>
  <c r="H71" i="4" s="1"/>
  <c r="I71" i="4" s="1"/>
  <c r="G70" i="4"/>
  <c r="H70" i="4" s="1"/>
  <c r="I70" i="4" s="1"/>
  <c r="G69" i="4"/>
  <c r="H69" i="4" s="1"/>
  <c r="I69" i="4" s="1"/>
  <c r="G68" i="4"/>
  <c r="H68" i="4" s="1"/>
  <c r="I68" i="4" s="1"/>
  <c r="G67" i="4"/>
  <c r="H67" i="4" s="1"/>
  <c r="I67" i="4" s="1"/>
  <c r="G66" i="4"/>
  <c r="H66" i="4" s="1"/>
  <c r="I66" i="4" s="1"/>
  <c r="G65" i="4"/>
  <c r="H65" i="4" s="1"/>
  <c r="I65" i="4" s="1"/>
  <c r="G64" i="4"/>
  <c r="H64" i="4" s="1"/>
  <c r="I64" i="4" s="1"/>
  <c r="G63" i="4"/>
  <c r="H63" i="4" s="1"/>
  <c r="I63" i="4" s="1"/>
  <c r="G62" i="4"/>
  <c r="H62" i="4" s="1"/>
  <c r="I62" i="4" s="1"/>
  <c r="G61" i="4"/>
  <c r="H61" i="4" s="1"/>
  <c r="I61" i="4" s="1"/>
  <c r="G60" i="4"/>
  <c r="H60" i="4" s="1"/>
  <c r="I60" i="4" s="1"/>
  <c r="G59" i="4"/>
  <c r="H59" i="4" s="1"/>
  <c r="I59" i="4" s="1"/>
  <c r="G58" i="4"/>
  <c r="H58" i="4" s="1"/>
  <c r="I58" i="4" s="1"/>
  <c r="G57" i="4"/>
  <c r="H57" i="4" s="1"/>
  <c r="I57" i="4" s="1"/>
  <c r="G56" i="4"/>
  <c r="H56" i="4" s="1"/>
  <c r="I56" i="4" s="1"/>
  <c r="G55" i="4"/>
  <c r="H55" i="4" s="1"/>
  <c r="I55" i="4" s="1"/>
  <c r="G54" i="4"/>
  <c r="H54" i="4" s="1"/>
  <c r="I54" i="4" s="1"/>
  <c r="G53" i="4"/>
  <c r="H53" i="4" s="1"/>
  <c r="I53" i="4" s="1"/>
  <c r="G52" i="4"/>
  <c r="H52" i="4" s="1"/>
  <c r="I52" i="4" s="1"/>
  <c r="G51" i="4"/>
  <c r="H51" i="4" s="1"/>
  <c r="I51" i="4" s="1"/>
  <c r="G50" i="4"/>
  <c r="H50" i="4" s="1"/>
  <c r="I50" i="4" s="1"/>
  <c r="G49" i="4"/>
  <c r="H49" i="4" s="1"/>
  <c r="I49" i="4" s="1"/>
  <c r="G48" i="4"/>
  <c r="H48" i="4" s="1"/>
  <c r="I48" i="4" s="1"/>
  <c r="G47" i="4"/>
  <c r="H47" i="4" s="1"/>
  <c r="I47" i="4" s="1"/>
  <c r="G46" i="4"/>
  <c r="H46" i="4" s="1"/>
  <c r="I46" i="4" s="1"/>
  <c r="G45" i="4"/>
  <c r="H45" i="4" s="1"/>
  <c r="I45" i="4" s="1"/>
  <c r="G44" i="4"/>
  <c r="H44" i="4" s="1"/>
  <c r="I44" i="4" s="1"/>
  <c r="G43" i="4"/>
  <c r="H43" i="4" s="1"/>
  <c r="I43" i="4" s="1"/>
  <c r="G42" i="4"/>
  <c r="H42" i="4" s="1"/>
  <c r="I42" i="4" s="1"/>
  <c r="G41" i="4"/>
  <c r="H41" i="4" s="1"/>
  <c r="I41" i="4" s="1"/>
  <c r="G40" i="4"/>
  <c r="H40" i="4" s="1"/>
  <c r="I40" i="4" s="1"/>
  <c r="G39" i="4"/>
  <c r="H39" i="4" s="1"/>
  <c r="I39" i="4" s="1"/>
  <c r="G38" i="4"/>
  <c r="H38" i="4" s="1"/>
  <c r="I38" i="4" s="1"/>
  <c r="L37" i="4"/>
  <c r="M37" i="4" s="1"/>
  <c r="G37" i="4"/>
  <c r="H37" i="4" s="1"/>
  <c r="G36" i="4"/>
  <c r="H36" i="4" s="1"/>
  <c r="I36" i="4" s="1"/>
  <c r="L35" i="4"/>
  <c r="M35" i="4" s="1"/>
  <c r="G35" i="4"/>
  <c r="H35" i="4" s="1"/>
  <c r="I35" i="4" s="1"/>
  <c r="G34" i="4"/>
  <c r="H34" i="4" s="1"/>
  <c r="I34" i="4" s="1"/>
  <c r="G33" i="4"/>
  <c r="H33" i="4" s="1"/>
  <c r="I33" i="4" s="1"/>
  <c r="L32" i="4"/>
  <c r="M32" i="4" s="1"/>
  <c r="G32" i="4"/>
  <c r="H32" i="4" s="1"/>
  <c r="I32" i="4" s="1"/>
  <c r="L31" i="4"/>
  <c r="M31" i="4" s="1"/>
  <c r="G31" i="4"/>
  <c r="H31" i="4" s="1"/>
  <c r="I31" i="4" s="1"/>
  <c r="G30" i="4"/>
  <c r="H30" i="4" s="1"/>
  <c r="I30" i="4" s="1"/>
  <c r="L29" i="4"/>
  <c r="M29" i="4" s="1"/>
  <c r="G29" i="4"/>
  <c r="H29" i="4" s="1"/>
  <c r="I29" i="4" s="1"/>
  <c r="G28" i="4"/>
  <c r="H28" i="4" s="1"/>
  <c r="I28" i="4" s="1"/>
  <c r="G27" i="4"/>
  <c r="H27" i="4" s="1"/>
  <c r="I27" i="4" s="1"/>
  <c r="G26" i="4"/>
  <c r="H26" i="4" s="1"/>
  <c r="I26" i="4" s="1"/>
  <c r="L25" i="4"/>
  <c r="M25" i="4" s="1"/>
  <c r="G25" i="4"/>
  <c r="H25" i="4" s="1"/>
  <c r="I25" i="4" s="1"/>
  <c r="L24" i="4"/>
  <c r="M24" i="4" s="1"/>
  <c r="G24" i="4"/>
  <c r="H24" i="4" s="1"/>
  <c r="I24" i="4" s="1"/>
  <c r="L23" i="4"/>
  <c r="M23" i="4" s="1"/>
  <c r="G23" i="4"/>
  <c r="H23" i="4" s="1"/>
  <c r="I23" i="4" s="1"/>
  <c r="G22" i="4"/>
  <c r="H22" i="4" s="1"/>
  <c r="I22" i="4" s="1"/>
  <c r="G21" i="4"/>
  <c r="H21" i="4" s="1"/>
  <c r="I21" i="4" s="1"/>
  <c r="G20" i="4"/>
  <c r="H20" i="4" s="1"/>
  <c r="I20" i="4" s="1"/>
  <c r="G19" i="4"/>
  <c r="H19" i="4" s="1"/>
  <c r="I19" i="4" s="1"/>
  <c r="G18" i="4"/>
  <c r="H18" i="4" s="1"/>
  <c r="I18" i="4" s="1"/>
  <c r="G17" i="4"/>
  <c r="H17" i="4" s="1"/>
  <c r="I17" i="4" s="1"/>
  <c r="O16" i="4"/>
  <c r="P16" i="4" s="1"/>
  <c r="R16" i="4" s="1"/>
  <c r="L16" i="4"/>
  <c r="M16" i="4" s="1"/>
  <c r="G16" i="4"/>
  <c r="H16" i="4" s="1"/>
  <c r="I16" i="4" s="1"/>
  <c r="Q15" i="4"/>
  <c r="P15" i="4"/>
  <c r="R15" i="4" s="1"/>
  <c r="M15" i="4"/>
  <c r="N15" i="4" s="1"/>
  <c r="G15" i="4"/>
  <c r="H15" i="4" s="1"/>
  <c r="I15" i="4" s="1"/>
  <c r="C7" i="4"/>
  <c r="M3" i="4"/>
  <c r="L3" i="4"/>
  <c r="K3" i="4"/>
  <c r="L22" i="4" l="1"/>
  <c r="M22" i="4" s="1"/>
  <c r="L26" i="4"/>
  <c r="M26" i="4" s="1"/>
  <c r="P41" i="1"/>
  <c r="Q16" i="1"/>
  <c r="P31" i="1"/>
  <c r="Q15" i="1"/>
  <c r="L38" i="4"/>
  <c r="M38" i="4" s="1"/>
  <c r="P21" i="1"/>
  <c r="Q14" i="1"/>
  <c r="P13" i="1"/>
  <c r="Q13" i="1"/>
  <c r="P51" i="1"/>
  <c r="Q17" i="1"/>
  <c r="I37" i="4"/>
  <c r="L20" i="4"/>
  <c r="M20" i="4" s="1"/>
  <c r="L18" i="4"/>
  <c r="M18" i="4" s="1"/>
  <c r="L34" i="4"/>
  <c r="M34" i="4" s="1"/>
  <c r="L36" i="4"/>
  <c r="M36" i="4" s="1"/>
  <c r="L19" i="4"/>
  <c r="M19" i="4" s="1"/>
  <c r="L28" i="4"/>
  <c r="M28" i="4" s="1"/>
  <c r="L17" i="4"/>
  <c r="M17" i="4" s="1"/>
  <c r="L21" i="4"/>
  <c r="M21" i="4" s="1"/>
  <c r="L27" i="4"/>
  <c r="M27" i="4" s="1"/>
  <c r="L33" i="4"/>
  <c r="M33" i="4" s="1"/>
  <c r="L30" i="4"/>
  <c r="M30" i="4" s="1"/>
  <c r="U15" i="4"/>
  <c r="V15" i="4" s="1"/>
  <c r="S15" i="4"/>
  <c r="T15" i="4" s="1"/>
  <c r="K5" i="4" s="1"/>
  <c r="N16" i="4"/>
  <c r="U16" i="4" s="1"/>
  <c r="K7" i="4" s="1"/>
  <c r="Q16" i="4"/>
  <c r="O17" i="4"/>
  <c r="N17" i="4" l="1"/>
  <c r="V16" i="4"/>
  <c r="K6" i="4"/>
  <c r="K8" i="4" s="1"/>
  <c r="O18" i="4"/>
  <c r="P17" i="4"/>
  <c r="R17" i="4" s="1"/>
  <c r="S16" i="4" s="1"/>
  <c r="T16" i="4" s="1"/>
  <c r="Q17" i="4"/>
  <c r="C9" i="4" l="1"/>
  <c r="U17" i="4"/>
  <c r="V17" i="4" s="1"/>
  <c r="N18" i="4"/>
  <c r="Q18" i="4"/>
  <c r="O19" i="4"/>
  <c r="P18" i="4"/>
  <c r="R18" i="4" s="1"/>
  <c r="C12" i="4" l="1"/>
  <c r="AA3" i="4"/>
  <c r="U18" i="4"/>
  <c r="V18" i="4" s="1"/>
  <c r="N19" i="4"/>
  <c r="S17" i="4"/>
  <c r="T17" i="4" s="1"/>
  <c r="Q19" i="4"/>
  <c r="O20" i="4"/>
  <c r="P19" i="4"/>
  <c r="R19" i="4" s="1"/>
  <c r="S18" i="4" s="1"/>
  <c r="N20" i="4" l="1"/>
  <c r="U19" i="4"/>
  <c r="V19" i="4" s="1"/>
  <c r="P20" i="4"/>
  <c r="R20" i="4" s="1"/>
  <c r="Q20" i="4"/>
  <c r="O21" i="4"/>
  <c r="T18" i="4"/>
  <c r="U20" i="4" l="1"/>
  <c r="V20" i="4" s="1"/>
  <c r="S19" i="4"/>
  <c r="T19" i="4" s="1"/>
  <c r="Q21" i="4"/>
  <c r="O22" i="4"/>
  <c r="P21" i="4"/>
  <c r="R21" i="4" s="1"/>
  <c r="N21" i="4"/>
  <c r="U21" i="4" l="1"/>
  <c r="V21" i="4" s="1"/>
  <c r="S20" i="4"/>
  <c r="T20" i="4" s="1"/>
  <c r="N22" i="4"/>
  <c r="Q22" i="4"/>
  <c r="O23" i="4"/>
  <c r="P22" i="4"/>
  <c r="R22" i="4" s="1"/>
  <c r="U22" i="4" l="1"/>
  <c r="V22" i="4" s="1"/>
  <c r="N23" i="4"/>
  <c r="Q23" i="4"/>
  <c r="O24" i="4"/>
  <c r="P23" i="4"/>
  <c r="R23" i="4" s="1"/>
  <c r="S21" i="4"/>
  <c r="T21" i="4" s="1"/>
  <c r="U23" i="4" l="1"/>
  <c r="V23" i="4" s="1"/>
  <c r="S22" i="4"/>
  <c r="T22" i="4" s="1"/>
  <c r="N24" i="4"/>
  <c r="Q24" i="4"/>
  <c r="P24" i="4"/>
  <c r="R24" i="4" s="1"/>
  <c r="O25" i="4"/>
  <c r="U24" i="4" l="1"/>
  <c r="V24" i="4" s="1"/>
  <c r="N25" i="4"/>
  <c r="O26" i="4"/>
  <c r="Q25" i="4"/>
  <c r="P25" i="4"/>
  <c r="R25" i="4" s="1"/>
  <c r="S23" i="4"/>
  <c r="T23" i="4" s="1"/>
  <c r="U25" i="4" l="1"/>
  <c r="V25" i="4" s="1"/>
  <c r="O27" i="4"/>
  <c r="Q26" i="4"/>
  <c r="P26" i="4"/>
  <c r="R26" i="4" s="1"/>
  <c r="S25" i="4" s="1"/>
  <c r="S24" i="4"/>
  <c r="T24" i="4" s="1"/>
  <c r="N26" i="4"/>
  <c r="T25" i="4" l="1"/>
  <c r="N27" i="4"/>
  <c r="P27" i="4"/>
  <c r="R27" i="4" s="1"/>
  <c r="S26" i="4" s="1"/>
  <c r="O28" i="4"/>
  <c r="Q27" i="4"/>
  <c r="U26" i="4"/>
  <c r="V26" i="4" s="1"/>
  <c r="T26" i="4" l="1"/>
  <c r="N28" i="4"/>
  <c r="Q28" i="4"/>
  <c r="P28" i="4"/>
  <c r="R28" i="4" s="1"/>
  <c r="S27" i="4" s="1"/>
  <c r="O29" i="4"/>
  <c r="U27" i="4"/>
  <c r="V27" i="4" s="1"/>
  <c r="T27" i="4" l="1"/>
  <c r="U28" i="4"/>
  <c r="V28" i="4" s="1"/>
  <c r="O30" i="4"/>
  <c r="Q29" i="4"/>
  <c r="P29" i="4"/>
  <c r="R29" i="4" s="1"/>
  <c r="N29" i="4"/>
  <c r="U29" i="4" l="1"/>
  <c r="V29" i="4" s="1"/>
  <c r="N30" i="4"/>
  <c r="S28" i="4"/>
  <c r="T28" i="4" s="1"/>
  <c r="O31" i="4"/>
  <c r="Q30" i="4"/>
  <c r="P30" i="4"/>
  <c r="R30" i="4" s="1"/>
  <c r="U30" i="4" l="1"/>
  <c r="V30" i="4" s="1"/>
  <c r="S29" i="4"/>
  <c r="T29" i="4" s="1"/>
  <c r="O32" i="4"/>
  <c r="Q31" i="4"/>
  <c r="P31" i="4"/>
  <c r="R31" i="4" s="1"/>
  <c r="S30" i="4" s="1"/>
  <c r="N31" i="4"/>
  <c r="T30" i="4" l="1"/>
  <c r="U31" i="4"/>
  <c r="V31" i="4" s="1"/>
  <c r="P32" i="4"/>
  <c r="R32" i="4" s="1"/>
  <c r="O33" i="4"/>
  <c r="Q32" i="4"/>
  <c r="N32" i="4"/>
  <c r="U32" i="4" l="1"/>
  <c r="V32" i="4" s="1"/>
  <c r="Q33" i="4"/>
  <c r="P33" i="4"/>
  <c r="R33" i="4" s="1"/>
  <c r="O34" i="4"/>
  <c r="N33" i="4"/>
  <c r="S31" i="4"/>
  <c r="T31" i="4" s="1"/>
  <c r="U33" i="4" l="1"/>
  <c r="V33" i="4" s="1"/>
  <c r="O35" i="4"/>
  <c r="Q34" i="4"/>
  <c r="P34" i="4"/>
  <c r="R34" i="4" s="1"/>
  <c r="N34" i="4"/>
  <c r="S32" i="4"/>
  <c r="T32" i="4" s="1"/>
  <c r="U34" i="4" l="1"/>
  <c r="V34" i="4" s="1"/>
  <c r="S33" i="4"/>
  <c r="T33" i="4" s="1"/>
  <c r="N35" i="4"/>
  <c r="P35" i="4"/>
  <c r="R35" i="4" s="1"/>
  <c r="O36" i="4"/>
  <c r="Q35" i="4"/>
  <c r="U35" i="4" l="1"/>
  <c r="V35" i="4" s="1"/>
  <c r="N36" i="4"/>
  <c r="P36" i="4"/>
  <c r="R36" i="4" s="1"/>
  <c r="S35" i="4" s="1"/>
  <c r="O37" i="4"/>
  <c r="Q36" i="4"/>
  <c r="S34" i="4"/>
  <c r="T34" i="4" s="1"/>
  <c r="T35" i="4" l="1"/>
  <c r="N37" i="4"/>
  <c r="Q37" i="4"/>
  <c r="P37" i="4"/>
  <c r="R37" i="4" s="1"/>
  <c r="S36" i="4" s="1"/>
  <c r="O38" i="4"/>
  <c r="U36" i="4"/>
  <c r="V36" i="4" s="1"/>
  <c r="T36" i="4" l="1"/>
  <c r="P38" i="4"/>
  <c r="R38" i="4" s="1"/>
  <c r="Q38" i="4"/>
  <c r="N38" i="4"/>
  <c r="U37" i="4"/>
  <c r="V37" i="4" s="1"/>
  <c r="U38" i="4" l="1"/>
  <c r="V38" i="4" s="1"/>
  <c r="S37" i="4"/>
  <c r="T37" i="4" s="1"/>
  <c r="T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 tarifin içində həm komissiya, həm də şirkətin mənfəəti nəzərə alınıb</t>
        </r>
      </text>
    </comment>
    <comment ref="S1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Yalnız şirkətin mənfəəti nəzərə alınıb. Komissiya nəzərə alınmayıb.
</t>
        </r>
      </text>
    </comment>
  </commentList>
</comments>
</file>

<file path=xl/sharedStrings.xml><?xml version="1.0" encoding="utf-8"?>
<sst xmlns="http://schemas.openxmlformats.org/spreadsheetml/2006/main" count="451" uniqueCount="124">
  <si>
    <t>Yas</t>
  </si>
  <si>
    <t>β</t>
  </si>
  <si>
    <t>1-β</t>
  </si>
  <si>
    <t>ρ1+1</t>
  </si>
  <si>
    <t>ρ2+1</t>
  </si>
  <si>
    <t>γ</t>
  </si>
  <si>
    <t>α</t>
  </si>
  <si>
    <t>ρ1</t>
  </si>
  <si>
    <t>ρ2</t>
  </si>
  <si>
    <t>m</t>
  </si>
  <si>
    <t>Gəlirlilik</t>
  </si>
  <si>
    <t>komissiya</t>
  </si>
  <si>
    <t>Muddet</t>
  </si>
  <si>
    <t>S/h</t>
  </si>
  <si>
    <t>S/M(o)</t>
  </si>
  <si>
    <t>Axn(cem)</t>
  </si>
  <si>
    <t>faiz</t>
  </si>
  <si>
    <t>axn</t>
  </si>
  <si>
    <t>S/M(y)</t>
  </si>
  <si>
    <t>nEx</t>
  </si>
  <si>
    <t>Sığorta məbləği</t>
  </si>
  <si>
    <t>axn(m)</t>
  </si>
  <si>
    <t>Sığorta haqqı</t>
  </si>
  <si>
    <t>Sığorta haqqı:</t>
  </si>
  <si>
    <t>tarif%</t>
  </si>
  <si>
    <t>x</t>
  </si>
  <si>
    <t>l(x)</t>
  </si>
  <si>
    <t>d(x)</t>
  </si>
  <si>
    <t>q</t>
  </si>
  <si>
    <t>p</t>
  </si>
  <si>
    <t>tpx</t>
  </si>
  <si>
    <t>i</t>
  </si>
  <si>
    <t>v</t>
  </si>
  <si>
    <t>i/d</t>
  </si>
  <si>
    <t>vn</t>
  </si>
  <si>
    <t>Axn</t>
  </si>
  <si>
    <t>Yaş</t>
  </si>
  <si>
    <t>Sığorta tarifi (netto)</t>
  </si>
  <si>
    <t xml:space="preserve">Sığorta məbləği </t>
  </si>
  <si>
    <t>Sığorta müddəti</t>
  </si>
  <si>
    <t>1 il</t>
  </si>
  <si>
    <t>Ortalama tarif:</t>
  </si>
  <si>
    <t>Sığorta məbləği:</t>
  </si>
  <si>
    <t>18-35 yaş</t>
  </si>
  <si>
    <t>36-50 yaş</t>
  </si>
  <si>
    <t>51-65 yaş</t>
  </si>
  <si>
    <t>Komissiya muzdu</t>
  </si>
  <si>
    <t>&lt;2000</t>
  </si>
  <si>
    <t>&lt;12</t>
  </si>
  <si>
    <t>sığorta məbləği</t>
  </si>
  <si>
    <t>sığorta haqqı</t>
  </si>
  <si>
    <t>net tarif</t>
  </si>
  <si>
    <t>ortalama bazar</t>
  </si>
  <si>
    <t>Şirkətlərin uçot jurnallarından götürülmüş məlumatlara əsasən bütün yaşlar üzrə ortalama tarif</t>
  </si>
  <si>
    <t>1-ci təklif</t>
  </si>
  <si>
    <t>2-ci təklif</t>
  </si>
  <si>
    <t>3-cü təklif</t>
  </si>
  <si>
    <t>18-40 yaş</t>
  </si>
  <si>
    <t>41-55 yaş</t>
  </si>
  <si>
    <t>56-60 yaş</t>
  </si>
  <si>
    <t>61-65 yaş</t>
  </si>
  <si>
    <t>Zərərlik (komissiyalı)</t>
  </si>
  <si>
    <t>Zərərlik (komissiyasız)</t>
  </si>
  <si>
    <t>Müqavilə sayı</t>
  </si>
  <si>
    <t>Komissiya</t>
  </si>
  <si>
    <t>Komissiyasız sığorta haqqı</t>
  </si>
  <si>
    <t>Ölüm sayı (2017)</t>
  </si>
  <si>
    <t>Əlillik sayı (2017)</t>
  </si>
  <si>
    <t>Ölüm üzrə ödəniş</t>
  </si>
  <si>
    <t>Əlillik üzrə ödəniş</t>
  </si>
  <si>
    <t>18-25</t>
  </si>
  <si>
    <t>25-35</t>
  </si>
  <si>
    <t>35-45</t>
  </si>
  <si>
    <t>45-55</t>
  </si>
  <si>
    <t>55-65</t>
  </si>
  <si>
    <t>2017-ci il üzrə 0-2000 azn məbləğində sığorta müqavilələri üzrə zərərlilik</t>
  </si>
  <si>
    <t>Ölüm cədvəlinə əsasən müəyyənləşdirilən tarif (I variant)</t>
  </si>
  <si>
    <t>Ölüm cədvəlinə əsasən müəyyənləşdirilən tarif (II variant)</t>
  </si>
  <si>
    <t>I variant</t>
  </si>
  <si>
    <t>II variant</t>
  </si>
  <si>
    <t>komissya muzdu 0%, gəlirlilik 0%</t>
  </si>
  <si>
    <t>komissya muzdu 15%, gəlirlilik 15%</t>
  </si>
  <si>
    <t>26-35</t>
  </si>
  <si>
    <t>36-45</t>
  </si>
  <si>
    <t>46-55</t>
  </si>
  <si>
    <t>56-65</t>
  </si>
  <si>
    <t>65+</t>
  </si>
  <si>
    <t>İmtinaların sayı</t>
  </si>
  <si>
    <t>Cəm--2017</t>
  </si>
  <si>
    <t>Ölüm cədvəlinə görə NET sığorta tarifi</t>
  </si>
  <si>
    <t xml:space="preserve">Ölüm sayı </t>
  </si>
  <si>
    <t xml:space="preserve">Əlillik sayı </t>
  </si>
  <si>
    <t>Cəm --(2016-2018)</t>
  </si>
  <si>
    <t>Ölüm cədvəlinə görə GROS sığorta tarifi</t>
  </si>
  <si>
    <t>Həyat sığorta şirkətləri üçün ortalama gross (komissiyasız) sığorta tarifi</t>
  </si>
  <si>
    <t>Zərərlilik əmsalı</t>
  </si>
  <si>
    <t>Sığorta ödənişi</t>
  </si>
  <si>
    <t xml:space="preserve"> Hesablanmış sığorta haqqı (87-88% komissiya daxil olmaqla)</t>
  </si>
  <si>
    <t xml:space="preserve"> Hesablanmış sığorta haqqı (15% komissiya daxil olmaqla) (Proqnoz)</t>
  </si>
  <si>
    <t>Ölüm cədvəli ilə sığortaçıların tariflərinin müqayisəsi (2017)</t>
  </si>
  <si>
    <t>2016-2018-ci illərdə bağlanmış sığorta müqavilələri üzrə statistika</t>
  </si>
  <si>
    <t>2016-2018-ci illərdə bağlanmış sığorta müqavilələri üzrə statistika (65 yaşdan yuxarı şəxslər daxil)</t>
  </si>
  <si>
    <t>Cəmi</t>
  </si>
  <si>
    <t>Mövcud vəziyyət</t>
  </si>
  <si>
    <t>Təklif olunan tarif</t>
  </si>
  <si>
    <t>Həyat sığorta şirkətləri üçün  ortalama gross (komissiyasız) sığorta tarifi</t>
  </si>
  <si>
    <t>Zərər əmsalı</t>
  </si>
  <si>
    <t>Ümumi sığorta haqqı</t>
  </si>
  <si>
    <t>Zərər əmsalı (komissiyasız)</t>
  </si>
  <si>
    <t>Təklif olunan ortalama gross (komissiyasız) sığorta tarifi</t>
  </si>
  <si>
    <t>Şirkətlərin təqdim etdiyi zərərlər haqqında məlumatlara əsasən hesablanmış tarif</t>
  </si>
  <si>
    <t>25% komissiya əlavə olunub</t>
  </si>
  <si>
    <t>Insurer 1</t>
  </si>
  <si>
    <t>Insurer 2</t>
  </si>
  <si>
    <t>Insurer 3</t>
  </si>
  <si>
    <t xml:space="preserve">Insurer 1 statistik məlumatlarına əsasən müəyyənləşdirilən gross tarif (komissya muzdu 0%) </t>
  </si>
  <si>
    <t xml:space="preserve">Insurer 2 statistik məlumatlarına əsasən müəyyənləşdirilən gross tarif (komissya muzdu 0%) </t>
  </si>
  <si>
    <t xml:space="preserve">Insurer 3 statistik məlumatlarına əsasən müəyyənləşdirilən gross tarif (komissya muzdu 0%) </t>
  </si>
  <si>
    <t>Insurer 1--2017</t>
  </si>
  <si>
    <t>Insurer 2--2017</t>
  </si>
  <si>
    <t>Insurer 3--2017</t>
  </si>
  <si>
    <t>Insurer 1--(2016-2018)</t>
  </si>
  <si>
    <t>Insurer 2--(2016-2018)</t>
  </si>
  <si>
    <t>Insurer 3--(2016-2018)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</si>
</sst>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.00_-;\-* #,##0.00_-;_-* &quot;-&quot;??_-;_-@_-"/>
    <numFmt numFmtId="165" formatCode="0.0%"/>
    <numFmt numFmtId="166" formatCode="0.0000%"/>
    <numFmt numFmtId="167" formatCode="0.000"/>
    <numFmt numFmtId="168" formatCode="#,##0.00_ ;\-#,##0.00\ "/>
    <numFmt numFmtId="169" formatCode="#,##0_ ;\-#,##0\ "/>
    <numFmt numFmtId="170" formatCode="#,##0.0"/>
    <numFmt numFmtId="171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2" fillId="0" borderId="1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6" fontId="2" fillId="0" borderId="13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8" xfId="0" applyNumberFormat="1" applyBorder="1"/>
    <xf numFmtId="166" fontId="0" fillId="0" borderId="10" xfId="0" applyNumberFormat="1" applyBorder="1"/>
    <xf numFmtId="0" fontId="5" fillId="0" borderId="9" xfId="0" applyFont="1" applyBorder="1"/>
    <xf numFmtId="0" fontId="0" fillId="0" borderId="10" xfId="0" applyBorder="1"/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6" fontId="0" fillId="0" borderId="13" xfId="0" applyNumberFormat="1" applyBorder="1"/>
    <xf numFmtId="1" fontId="0" fillId="0" borderId="8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0" fillId="0" borderId="0" xfId="0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0" fontId="2" fillId="6" borderId="1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8" fontId="0" fillId="0" borderId="11" xfId="2" applyNumberFormat="1" applyFont="1" applyBorder="1" applyAlignment="1">
      <alignment horizontal="center" vertical="center"/>
    </xf>
    <xf numFmtId="168" fontId="0" fillId="0" borderId="12" xfId="2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64" fontId="0" fillId="0" borderId="11" xfId="2" applyFont="1" applyBorder="1"/>
    <xf numFmtId="0" fontId="0" fillId="7" borderId="21" xfId="0" applyFill="1" applyBorder="1"/>
    <xf numFmtId="10" fontId="0" fillId="7" borderId="21" xfId="1" applyNumberFormat="1" applyFont="1" applyFill="1" applyBorder="1"/>
    <xf numFmtId="0" fontId="2" fillId="7" borderId="21" xfId="0" applyFont="1" applyFill="1" applyBorder="1" applyAlignment="1">
      <alignment horizontal="center" vertical="center"/>
    </xf>
    <xf numFmtId="166" fontId="0" fillId="0" borderId="0" xfId="0" applyNumberFormat="1"/>
    <xf numFmtId="166" fontId="0" fillId="0" borderId="22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7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9" xfId="0" applyBorder="1"/>
    <xf numFmtId="0" fontId="5" fillId="0" borderId="7" xfId="0" applyFont="1" applyBorder="1" applyAlignment="1">
      <alignment vertical="center"/>
    </xf>
    <xf numFmtId="1" fontId="0" fillId="0" borderId="28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8" borderId="29" xfId="0" applyFill="1" applyBorder="1"/>
    <xf numFmtId="3" fontId="8" fillId="0" borderId="37" xfId="0" applyNumberFormat="1" applyFont="1" applyBorder="1" applyAlignment="1">
      <alignment horizontal="center" vertical="center"/>
    </xf>
    <xf numFmtId="3" fontId="8" fillId="0" borderId="39" xfId="0" applyNumberFormat="1" applyFont="1" applyBorder="1" applyAlignment="1">
      <alignment horizontal="center" vertical="center"/>
    </xf>
    <xf numFmtId="3" fontId="8" fillId="8" borderId="42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9" fontId="8" fillId="0" borderId="41" xfId="2" applyNumberFormat="1" applyFont="1" applyBorder="1" applyAlignment="1">
      <alignment horizontal="center" vertical="center"/>
    </xf>
    <xf numFmtId="169" fontId="8" fillId="0" borderId="38" xfId="2" applyNumberFormat="1" applyFont="1" applyBorder="1" applyAlignment="1">
      <alignment horizontal="center" vertical="center"/>
    </xf>
    <xf numFmtId="169" fontId="8" fillId="0" borderId="1" xfId="2" applyNumberFormat="1" applyFont="1" applyBorder="1" applyAlignment="1">
      <alignment horizontal="center" vertical="center"/>
    </xf>
    <xf numFmtId="169" fontId="8" fillId="8" borderId="4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10" fontId="8" fillId="0" borderId="38" xfId="1" applyNumberFormat="1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10" fontId="8" fillId="8" borderId="43" xfId="1" applyNumberFormat="1" applyFont="1" applyFill="1" applyBorder="1" applyAlignment="1">
      <alignment horizontal="center" vertical="center"/>
    </xf>
    <xf numFmtId="169" fontId="8" fillId="0" borderId="40" xfId="2" applyNumberFormat="1" applyFont="1" applyBorder="1" applyAlignment="1">
      <alignment horizontal="center" vertical="center"/>
    </xf>
    <xf numFmtId="169" fontId="8" fillId="8" borderId="6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4" fontId="8" fillId="0" borderId="38" xfId="2" applyNumberFormat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4" fontId="8" fillId="0" borderId="40" xfId="0" applyNumberFormat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4" fontId="8" fillId="0" borderId="1" xfId="2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" fontId="8" fillId="0" borderId="41" xfId="0" applyNumberFormat="1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4" fontId="8" fillId="0" borderId="2" xfId="2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8" fillId="0" borderId="45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8" borderId="42" xfId="0" applyFill="1" applyBorder="1" applyAlignment="1">
      <alignment horizontal="center" wrapText="1"/>
    </xf>
    <xf numFmtId="4" fontId="0" fillId="8" borderId="43" xfId="2" applyNumberFormat="1" applyFont="1" applyFill="1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4" fontId="0" fillId="8" borderId="6" xfId="0" applyNumberFormat="1" applyFill="1" applyBorder="1" applyAlignment="1">
      <alignment horizontal="center" vertical="center" wrapText="1"/>
    </xf>
    <xf numFmtId="168" fontId="8" fillId="0" borderId="38" xfId="2" applyNumberFormat="1" applyFont="1" applyBorder="1" applyAlignment="1">
      <alignment horizontal="center" vertical="center" wrapText="1"/>
    </xf>
    <xf numFmtId="168" fontId="8" fillId="0" borderId="1" xfId="2" applyNumberFormat="1" applyFont="1" applyBorder="1" applyAlignment="1">
      <alignment horizontal="center" vertical="center" wrapText="1"/>
    </xf>
    <xf numFmtId="168" fontId="8" fillId="0" borderId="2" xfId="2" applyNumberFormat="1" applyFont="1" applyBorder="1" applyAlignment="1">
      <alignment horizontal="center" vertical="center" wrapText="1"/>
    </xf>
    <xf numFmtId="168" fontId="0" fillId="8" borderId="43" xfId="2" applyNumberFormat="1" applyFont="1" applyFill="1" applyBorder="1" applyAlignment="1">
      <alignment horizontal="center" vertical="center" wrapText="1"/>
    </xf>
    <xf numFmtId="10" fontId="8" fillId="0" borderId="38" xfId="1" applyNumberFormat="1" applyFont="1" applyBorder="1" applyAlignment="1">
      <alignment horizontal="center" vertical="center" wrapText="1"/>
    </xf>
    <xf numFmtId="10" fontId="8" fillId="8" borderId="46" xfId="1" applyNumberFormat="1" applyFont="1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wrapText="1"/>
    </xf>
    <xf numFmtId="168" fontId="0" fillId="10" borderId="43" xfId="2" applyNumberFormat="1" applyFont="1" applyFill="1" applyBorder="1" applyAlignment="1">
      <alignment horizontal="center" vertical="center" wrapText="1"/>
    </xf>
    <xf numFmtId="4" fontId="0" fillId="10" borderId="43" xfId="2" applyNumberFormat="1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 vertical="center" wrapText="1"/>
    </xf>
    <xf numFmtId="4" fontId="0" fillId="10" borderId="6" xfId="0" applyNumberFormat="1" applyFill="1" applyBorder="1" applyAlignment="1">
      <alignment horizontal="center" vertical="center" wrapText="1"/>
    </xf>
    <xf numFmtId="10" fontId="8" fillId="10" borderId="46" xfId="1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8" fillId="0" borderId="0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66" fontId="8" fillId="0" borderId="12" xfId="1" applyNumberFormat="1" applyFont="1" applyBorder="1" applyAlignment="1">
      <alignment horizontal="center" vertical="center"/>
    </xf>
    <xf numFmtId="0" fontId="8" fillId="12" borderId="14" xfId="0" applyFont="1" applyFill="1" applyBorder="1"/>
    <xf numFmtId="0" fontId="8" fillId="2" borderId="11" xfId="0" applyFont="1" applyFill="1" applyBorder="1"/>
    <xf numFmtId="166" fontId="8" fillId="2" borderId="10" xfId="0" applyNumberFormat="1" applyFont="1" applyFill="1" applyBorder="1" applyAlignment="1">
      <alignment horizontal="center" vertical="center"/>
    </xf>
    <xf numFmtId="166" fontId="8" fillId="2" borderId="13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166" fontId="8" fillId="12" borderId="18" xfId="0" applyNumberFormat="1" applyFont="1" applyFill="1" applyBorder="1" applyAlignment="1">
      <alignment horizontal="center" vertical="center"/>
    </xf>
    <xf numFmtId="166" fontId="8" fillId="12" borderId="19" xfId="0" applyNumberFormat="1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 wrapText="1"/>
    </xf>
    <xf numFmtId="0" fontId="8" fillId="13" borderId="44" xfId="0" applyFont="1" applyFill="1" applyBorder="1" applyAlignment="1">
      <alignment horizontal="center" vertical="center" wrapText="1"/>
    </xf>
    <xf numFmtId="168" fontId="8" fillId="13" borderId="2" xfId="2" applyNumberFormat="1" applyFont="1" applyFill="1" applyBorder="1" applyAlignment="1">
      <alignment horizontal="center" vertical="center" wrapText="1"/>
    </xf>
    <xf numFmtId="4" fontId="8" fillId="13" borderId="2" xfId="2" applyNumberFormat="1" applyFont="1" applyFill="1" applyBorder="1" applyAlignment="1">
      <alignment horizontal="center" vertical="center" wrapText="1"/>
    </xf>
    <xf numFmtId="4" fontId="8" fillId="13" borderId="38" xfId="2" applyNumberFormat="1" applyFont="1" applyFill="1" applyBorder="1" applyAlignment="1">
      <alignment horizontal="center" vertical="center" wrapText="1"/>
    </xf>
    <xf numFmtId="10" fontId="8" fillId="13" borderId="38" xfId="1" applyNumberFormat="1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4" fontId="8" fillId="13" borderId="45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8" fillId="0" borderId="47" xfId="0" applyFont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4" fontId="0" fillId="11" borderId="0" xfId="0" applyNumberFormat="1" applyFill="1" applyAlignment="1">
      <alignment horizontal="center" vertical="center"/>
    </xf>
    <xf numFmtId="4" fontId="0" fillId="11" borderId="12" xfId="0" applyNumberForma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10" fontId="0" fillId="4" borderId="10" xfId="1" applyNumberFormat="1" applyFont="1" applyFill="1" applyBorder="1" applyAlignment="1">
      <alignment horizontal="center" vertical="center"/>
    </xf>
    <xf numFmtId="10" fontId="0" fillId="4" borderId="13" xfId="1" applyNumberFormat="1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 wrapText="1"/>
    </xf>
    <xf numFmtId="166" fontId="0" fillId="5" borderId="9" xfId="0" applyNumberFormat="1" applyFill="1" applyBorder="1" applyAlignment="1">
      <alignment horizontal="center" vertical="center"/>
    </xf>
    <xf numFmtId="166" fontId="0" fillId="5" borderId="11" xfId="0" applyNumberFormat="1" applyFill="1" applyBorder="1" applyAlignment="1">
      <alignment horizontal="center" vertical="center"/>
    </xf>
    <xf numFmtId="0" fontId="8" fillId="11" borderId="48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166" fontId="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4" fontId="0" fillId="9" borderId="9" xfId="0" applyNumberFormat="1" applyFill="1" applyBorder="1" applyAlignment="1">
      <alignment horizontal="center"/>
    </xf>
    <xf numFmtId="4" fontId="0" fillId="9" borderId="11" xfId="0" applyNumberFormat="1" applyFill="1" applyBorder="1" applyAlignment="1">
      <alignment horizontal="center"/>
    </xf>
    <xf numFmtId="4" fontId="0" fillId="0" borderId="0" xfId="0" applyNumberFormat="1"/>
    <xf numFmtId="0" fontId="8" fillId="9" borderId="15" xfId="0" applyFont="1" applyFill="1" applyBorder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/>
    </xf>
    <xf numFmtId="4" fontId="0" fillId="9" borderId="12" xfId="0" applyNumberFormat="1" applyFill="1" applyBorder="1" applyAlignment="1">
      <alignment horizontal="center" vertical="center"/>
    </xf>
    <xf numFmtId="170" fontId="0" fillId="5" borderId="10" xfId="1" applyNumberFormat="1" applyFont="1" applyFill="1" applyBorder="1" applyAlignment="1">
      <alignment horizontal="center" vertical="center"/>
    </xf>
    <xf numFmtId="170" fontId="0" fillId="5" borderId="13" xfId="1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10" fontId="0" fillId="4" borderId="0" xfId="1" applyNumberFormat="1" applyFont="1" applyFill="1" applyBorder="1" applyAlignment="1">
      <alignment horizontal="center" vertical="center"/>
    </xf>
    <xf numFmtId="10" fontId="0" fillId="4" borderId="12" xfId="1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168" fontId="0" fillId="7" borderId="9" xfId="0" applyNumberFormat="1" applyFill="1" applyBorder="1" applyAlignment="1">
      <alignment horizontal="center" vertical="center"/>
    </xf>
    <xf numFmtId="168" fontId="0" fillId="7" borderId="10" xfId="0" applyNumberForma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0" fontId="14" fillId="12" borderId="26" xfId="0" applyFont="1" applyFill="1" applyBorder="1" applyAlignment="1">
      <alignment horizontal="center" vertical="center" wrapText="1"/>
    </xf>
    <xf numFmtId="0" fontId="15" fillId="12" borderId="44" xfId="0" applyFont="1" applyFill="1" applyBorder="1" applyAlignment="1">
      <alignment horizontal="center" vertical="center" wrapText="1"/>
    </xf>
    <xf numFmtId="168" fontId="15" fillId="12" borderId="2" xfId="2" applyNumberFormat="1" applyFont="1" applyFill="1" applyBorder="1" applyAlignment="1">
      <alignment horizontal="center" vertical="center" wrapText="1"/>
    </xf>
    <xf numFmtId="4" fontId="15" fillId="12" borderId="2" xfId="2" applyNumberFormat="1" applyFont="1" applyFill="1" applyBorder="1" applyAlignment="1">
      <alignment horizontal="center" vertical="center" wrapText="1"/>
    </xf>
    <xf numFmtId="4" fontId="15" fillId="12" borderId="38" xfId="2" applyNumberFormat="1" applyFont="1" applyFill="1" applyBorder="1" applyAlignment="1">
      <alignment horizontal="center" vertical="center" wrapText="1"/>
    </xf>
    <xf numFmtId="10" fontId="15" fillId="12" borderId="38" xfId="1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4" fontId="15" fillId="12" borderId="45" xfId="0" applyNumberFormat="1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8" fillId="12" borderId="39" xfId="0" applyFont="1" applyFill="1" applyBorder="1" applyAlignment="1">
      <alignment horizontal="center" vertical="center" wrapText="1"/>
    </xf>
    <xf numFmtId="168" fontId="8" fillId="12" borderId="1" xfId="2" applyNumberFormat="1" applyFont="1" applyFill="1" applyBorder="1" applyAlignment="1">
      <alignment horizontal="center" vertical="center" wrapText="1"/>
    </xf>
    <xf numFmtId="4" fontId="8" fillId="12" borderId="1" xfId="2" applyNumberFormat="1" applyFont="1" applyFill="1" applyBorder="1" applyAlignment="1">
      <alignment horizontal="center" vertical="center" wrapText="1"/>
    </xf>
    <xf numFmtId="4" fontId="8" fillId="12" borderId="38" xfId="2" applyNumberFormat="1" applyFont="1" applyFill="1" applyBorder="1" applyAlignment="1">
      <alignment horizontal="center" vertical="center" wrapText="1"/>
    </xf>
    <xf numFmtId="10" fontId="8" fillId="12" borderId="38" xfId="1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4" fontId="8" fillId="12" borderId="41" xfId="0" applyNumberFormat="1" applyFont="1" applyFill="1" applyBorder="1" applyAlignment="1">
      <alignment horizontal="center" vertical="center" wrapText="1"/>
    </xf>
    <xf numFmtId="0" fontId="8" fillId="12" borderId="44" xfId="0" applyFont="1" applyFill="1" applyBorder="1" applyAlignment="1">
      <alignment horizontal="center" vertical="center" wrapText="1"/>
    </xf>
    <xf numFmtId="168" fontId="8" fillId="12" borderId="2" xfId="2" applyNumberFormat="1" applyFont="1" applyFill="1" applyBorder="1" applyAlignment="1">
      <alignment horizontal="center" vertical="center" wrapText="1"/>
    </xf>
    <xf numFmtId="4" fontId="8" fillId="12" borderId="2" xfId="2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4" fontId="8" fillId="12" borderId="45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wrapText="1"/>
    </xf>
    <xf numFmtId="4" fontId="0" fillId="9" borderId="10" xfId="0" applyNumberFormat="1" applyFill="1" applyBorder="1" applyAlignment="1">
      <alignment horizontal="center" vertical="center"/>
    </xf>
    <xf numFmtId="4" fontId="0" fillId="9" borderId="13" xfId="0" applyNumberForma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13" borderId="48" xfId="0" applyFont="1" applyFill="1" applyBorder="1" applyAlignment="1">
      <alignment horizontal="center" vertical="center" wrapText="1"/>
    </xf>
    <xf numFmtId="0" fontId="8" fillId="13" borderId="34" xfId="0" applyFont="1" applyFill="1" applyBorder="1" applyAlignment="1">
      <alignment horizontal="center" vertical="center" wrapText="1"/>
    </xf>
    <xf numFmtId="166" fontId="8" fillId="13" borderId="9" xfId="0" applyNumberFormat="1" applyFont="1" applyFill="1" applyBorder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166" fontId="8" fillId="13" borderId="11" xfId="0" applyNumberFormat="1" applyFont="1" applyFill="1" applyBorder="1" applyAlignment="1">
      <alignment horizontal="center" vertical="center"/>
    </xf>
    <xf numFmtId="4" fontId="0" fillId="13" borderId="12" xfId="0" applyNumberFormat="1" applyFill="1" applyBorder="1" applyAlignment="1">
      <alignment horizontal="center" vertical="center"/>
    </xf>
    <xf numFmtId="166" fontId="0" fillId="13" borderId="9" xfId="0" applyNumberFormat="1" applyFill="1" applyBorder="1" applyAlignment="1">
      <alignment horizontal="center" vertical="center"/>
    </xf>
    <xf numFmtId="166" fontId="0" fillId="13" borderId="11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170" fontId="0" fillId="13" borderId="0" xfId="1" applyNumberFormat="1" applyFont="1" applyFill="1" applyBorder="1" applyAlignment="1">
      <alignment horizontal="center" vertical="center"/>
    </xf>
    <xf numFmtId="4" fontId="0" fillId="9" borderId="0" xfId="0" applyNumberFormat="1" applyFill="1" applyAlignment="1">
      <alignment horizontal="center"/>
    </xf>
    <xf numFmtId="170" fontId="0" fillId="13" borderId="12" xfId="1" applyNumberFormat="1" applyFont="1" applyFill="1" applyBorder="1" applyAlignment="1">
      <alignment horizontal="center" vertical="center"/>
    </xf>
    <xf numFmtId="4" fontId="0" fillId="9" borderId="12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168" fontId="0" fillId="2" borderId="10" xfId="0" applyNumberFormat="1" applyFill="1" applyBorder="1" applyAlignment="1">
      <alignment horizontal="center" vertical="center"/>
    </xf>
    <xf numFmtId="168" fontId="5" fillId="2" borderId="13" xfId="0" applyNumberFormat="1" applyFont="1" applyFill="1" applyBorder="1" applyAlignment="1">
      <alignment horizontal="center" vertical="center"/>
    </xf>
    <xf numFmtId="168" fontId="0" fillId="2" borderId="13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8" fontId="0" fillId="2" borderId="18" xfId="0" applyNumberFormat="1" applyFill="1" applyBorder="1" applyAlignment="1">
      <alignment horizontal="center" vertical="center"/>
    </xf>
    <xf numFmtId="168" fontId="0" fillId="2" borderId="19" xfId="0" applyNumberFormat="1" applyFill="1" applyBorder="1" applyAlignment="1">
      <alignment horizontal="center" vertical="center"/>
    </xf>
    <xf numFmtId="168" fontId="5" fillId="2" borderId="19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171" fontId="0" fillId="0" borderId="0" xfId="1" applyNumberFormat="1" applyFont="1"/>
    <xf numFmtId="166" fontId="0" fillId="0" borderId="0" xfId="1" applyNumberFormat="1" applyFont="1"/>
    <xf numFmtId="166" fontId="0" fillId="0" borderId="9" xfId="1" applyNumberFormat="1" applyFont="1" applyBorder="1" applyAlignment="1">
      <alignment horizontal="center" vertical="center"/>
    </xf>
    <xf numFmtId="166" fontId="0" fillId="0" borderId="11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6" fontId="0" fillId="0" borderId="8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2" borderId="17" xfId="1" applyNumberFormat="1" applyFont="1" applyFill="1" applyBorder="1"/>
    <xf numFmtId="166" fontId="0" fillId="2" borderId="18" xfId="0" applyNumberFormat="1" applyFill="1" applyBorder="1"/>
    <xf numFmtId="166" fontId="0" fillId="2" borderId="19" xfId="0" applyNumberFormat="1" applyFill="1" applyBorder="1"/>
    <xf numFmtId="171" fontId="0" fillId="2" borderId="17" xfId="1" applyNumberFormat="1" applyFont="1" applyFill="1" applyBorder="1" applyAlignment="1">
      <alignment horizontal="center" vertical="center"/>
    </xf>
    <xf numFmtId="171" fontId="0" fillId="2" borderId="18" xfId="1" applyNumberFormat="1" applyFont="1" applyFill="1" applyBorder="1" applyAlignment="1">
      <alignment horizontal="center" vertical="center"/>
    </xf>
    <xf numFmtId="171" fontId="0" fillId="2" borderId="19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1" defaultTableStyle="TableStyleMedium2" defaultPivotStyle="PivotStyleMedium9">
    <tableStyle name="Invisible" pivot="0" table="0" count="0" xr9:uid="{B6CDA328-9EE8-4749-9565-CB38CFAC34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A165"/>
  <sheetViews>
    <sheetView tabSelected="1" zoomScale="80" zoomScaleNormal="80" workbookViewId="0">
      <selection activeCell="B2" sqref="B2"/>
    </sheetView>
  </sheetViews>
  <sheetFormatPr defaultColWidth="9.1796875" defaultRowHeight="15.5" x14ac:dyDescent="0.35"/>
  <cols>
    <col min="1" max="1" width="9.1796875" style="2"/>
    <col min="2" max="2" width="19.453125" style="2" customWidth="1"/>
    <col min="3" max="3" width="11.7265625" style="2" bestFit="1" customWidth="1"/>
    <col min="4" max="4" width="9.1796875" style="2"/>
    <col min="5" max="5" width="9.1796875" style="3"/>
    <col min="6" max="6" width="12" style="3" bestFit="1" customWidth="1"/>
    <col min="7" max="7" width="11.54296875" style="3" customWidth="1"/>
    <col min="8" max="8" width="13.7265625" style="3" bestFit="1" customWidth="1"/>
    <col min="9" max="9" width="10.81640625" style="3" customWidth="1"/>
    <col min="10" max="10" width="14.54296875" style="2" customWidth="1"/>
    <col min="11" max="11" width="13.1796875" style="2" customWidth="1"/>
    <col min="12" max="16" width="9.1796875" style="2"/>
    <col min="17" max="17" width="9.7265625" style="2" customWidth="1"/>
    <col min="18" max="18" width="9.1796875" style="2"/>
    <col min="19" max="19" width="12" style="2" bestFit="1" customWidth="1"/>
    <col min="20" max="20" width="15.453125" style="2" customWidth="1"/>
    <col min="21" max="21" width="9.1796875" style="2"/>
    <col min="22" max="22" width="13.7265625" style="2" bestFit="1" customWidth="1"/>
    <col min="23" max="24" width="9.1796875" style="2"/>
    <col min="25" max="25" width="15.54296875" style="2" bestFit="1" customWidth="1"/>
    <col min="26" max="27" width="19.54296875" style="2" bestFit="1" customWidth="1"/>
    <col min="28" max="16384" width="9.1796875" style="2"/>
  </cols>
  <sheetData>
    <row r="2" spans="2:27" x14ac:dyDescent="0.35">
      <c r="B2" s="1" t="s">
        <v>0</v>
      </c>
      <c r="C2" s="1">
        <v>18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X2" s="2" t="s">
        <v>36</v>
      </c>
      <c r="Y2" s="2" t="s">
        <v>20</v>
      </c>
      <c r="Z2" s="2" t="s">
        <v>22</v>
      </c>
      <c r="AA2" s="2" t="s">
        <v>37</v>
      </c>
    </row>
    <row r="3" spans="2:27" x14ac:dyDescent="0.35">
      <c r="B3" s="1" t="s">
        <v>12</v>
      </c>
      <c r="C3" s="1">
        <v>1</v>
      </c>
      <c r="J3" s="53">
        <v>3.0000000000000001E-3</v>
      </c>
      <c r="K3" s="54">
        <f>1-J3</f>
        <v>0.997</v>
      </c>
      <c r="L3" s="4">
        <f>1+P3</f>
        <v>1.03</v>
      </c>
      <c r="M3" s="4">
        <f>1+Q3</f>
        <v>1.0149999999999999</v>
      </c>
      <c r="N3" s="55">
        <v>2.5000000000000001E-3</v>
      </c>
      <c r="O3" s="53">
        <v>5.0000000000000001E-3</v>
      </c>
      <c r="P3" s="55">
        <v>0.03</v>
      </c>
      <c r="Q3" s="55">
        <v>1.4999999999999999E-2</v>
      </c>
      <c r="R3" s="4">
        <v>12</v>
      </c>
      <c r="S3" s="5">
        <v>0.15</v>
      </c>
      <c r="T3" s="5">
        <v>0.15</v>
      </c>
      <c r="X3" s="2">
        <v>18</v>
      </c>
      <c r="Y3" s="2">
        <f>$C$8</f>
        <v>2000</v>
      </c>
      <c r="Z3" s="2">
        <v>23.187231565502927</v>
      </c>
      <c r="AA3" s="21">
        <f t="shared" ref="AA3:AA50" si="0">Z3/Y3</f>
        <v>1.1593615782751464E-2</v>
      </c>
    </row>
    <row r="4" spans="2:27" x14ac:dyDescent="0.35">
      <c r="B4" s="6" t="s">
        <v>13</v>
      </c>
      <c r="C4" s="6">
        <v>100</v>
      </c>
      <c r="X4" s="2">
        <v>19</v>
      </c>
      <c r="Y4" s="2">
        <f>$C$8</f>
        <v>2000</v>
      </c>
      <c r="Z4" s="2">
        <v>23.275961784395449</v>
      </c>
      <c r="AA4" s="21">
        <f t="shared" si="0"/>
        <v>1.1637980892197725E-2</v>
      </c>
    </row>
    <row r="5" spans="2:27" x14ac:dyDescent="0.35">
      <c r="B5" s="6" t="s">
        <v>14</v>
      </c>
      <c r="C5" s="7">
        <v>2500</v>
      </c>
      <c r="J5" s="4" t="s">
        <v>15</v>
      </c>
      <c r="K5" s="4">
        <f>VLOOKUP(C3-1,$K$15:$V$38,10,0)</f>
        <v>5.6383514619200853E-4</v>
      </c>
      <c r="X5" s="2">
        <v>20</v>
      </c>
      <c r="Y5" s="2">
        <f t="shared" ref="Y5:Y50" si="1">$C$8</f>
        <v>2000</v>
      </c>
      <c r="Z5" s="2">
        <v>23.408758191329326</v>
      </c>
      <c r="AA5" s="21">
        <f t="shared" si="0"/>
        <v>1.1704379095664663E-2</v>
      </c>
    </row>
    <row r="6" spans="2:27" x14ac:dyDescent="0.35">
      <c r="B6" s="8" t="s">
        <v>16</v>
      </c>
      <c r="C6" s="9">
        <v>0</v>
      </c>
      <c r="J6" s="4" t="s">
        <v>17</v>
      </c>
      <c r="K6" s="52">
        <f>VLOOKUP(C3-1,$K$15:$V$38,12,0)</f>
        <v>1</v>
      </c>
      <c r="X6" s="2">
        <v>21</v>
      </c>
      <c r="Y6" s="2">
        <f t="shared" si="1"/>
        <v>2000</v>
      </c>
      <c r="Z6" s="2">
        <v>23.471515207612885</v>
      </c>
      <c r="AA6" s="21">
        <f t="shared" si="0"/>
        <v>1.1735757603806442E-2</v>
      </c>
    </row>
    <row r="7" spans="2:27" ht="16" thickBot="1" x14ac:dyDescent="0.4">
      <c r="B7" s="10" t="s">
        <v>18</v>
      </c>
      <c r="C7" s="10">
        <f>C6*C4</f>
        <v>0</v>
      </c>
      <c r="J7" s="4" t="s">
        <v>19</v>
      </c>
      <c r="K7" s="4">
        <f>VLOOKUP(C3,$K$15:$V$38,11,0)</f>
        <v>0.93403446319585948</v>
      </c>
      <c r="X7" s="2">
        <v>22</v>
      </c>
      <c r="Y7" s="2">
        <f t="shared" si="1"/>
        <v>2000</v>
      </c>
      <c r="Z7" s="2">
        <v>23.634052531568326</v>
      </c>
      <c r="AA7" s="21">
        <f t="shared" si="0"/>
        <v>1.1817026265784163E-2</v>
      </c>
    </row>
    <row r="8" spans="2:27" x14ac:dyDescent="0.35">
      <c r="B8" s="11" t="s">
        <v>20</v>
      </c>
      <c r="C8" s="12">
        <v>2000</v>
      </c>
      <c r="J8" s="4" t="s">
        <v>21</v>
      </c>
      <c r="K8" s="4">
        <f>K6-(R3-1)/(2*R3)*(1-K7)</f>
        <v>0.96976579563143561</v>
      </c>
      <c r="X8" s="2">
        <v>23</v>
      </c>
      <c r="Y8" s="2">
        <f t="shared" si="1"/>
        <v>2000</v>
      </c>
      <c r="Z8" s="2">
        <v>23.741210378366073</v>
      </c>
      <c r="AA8" s="21">
        <f t="shared" si="0"/>
        <v>1.1870605189183037E-2</v>
      </c>
    </row>
    <row r="9" spans="2:27" ht="16" thickBot="1" x14ac:dyDescent="0.4">
      <c r="B9" s="13" t="s">
        <v>23</v>
      </c>
      <c r="C9" s="14">
        <f>((K5*L3+K6*N3+O3)*C8)/(K3-S3-T3)</f>
        <v>23.187231565502927</v>
      </c>
      <c r="X9" s="2">
        <v>24</v>
      </c>
      <c r="Y9" s="2">
        <f t="shared" si="1"/>
        <v>2000</v>
      </c>
      <c r="Z9" s="2">
        <v>23.989514480055419</v>
      </c>
      <c r="AA9" s="21">
        <f t="shared" si="0"/>
        <v>1.199475724002771E-2</v>
      </c>
    </row>
    <row r="10" spans="2:27" x14ac:dyDescent="0.35">
      <c r="X10" s="2">
        <v>25</v>
      </c>
      <c r="Y10" s="2">
        <f t="shared" si="1"/>
        <v>2000</v>
      </c>
      <c r="Z10" s="2">
        <v>24.035718729271402</v>
      </c>
      <c r="AA10" s="21">
        <f t="shared" si="0"/>
        <v>1.2017859364635701E-2</v>
      </c>
    </row>
    <row r="11" spans="2:27" x14ac:dyDescent="0.35">
      <c r="X11" s="2">
        <v>26</v>
      </c>
      <c r="Y11" s="2">
        <f t="shared" si="1"/>
        <v>2000</v>
      </c>
      <c r="Z11" s="2">
        <v>24.267298571620152</v>
      </c>
      <c r="AA11" s="21">
        <f t="shared" si="0"/>
        <v>1.2133649285810077E-2</v>
      </c>
    </row>
    <row r="12" spans="2:27" x14ac:dyDescent="0.35">
      <c r="B12" s="2" t="s">
        <v>24</v>
      </c>
      <c r="C12" s="21">
        <f>C9/C8</f>
        <v>1.1593615782751464E-2</v>
      </c>
      <c r="X12" s="2">
        <v>27</v>
      </c>
      <c r="Y12" s="2">
        <f t="shared" si="1"/>
        <v>2000</v>
      </c>
      <c r="Z12" s="2">
        <v>24.402393753993756</v>
      </c>
      <c r="AA12" s="21">
        <f t="shared" si="0"/>
        <v>1.2201196876996879E-2</v>
      </c>
    </row>
    <row r="13" spans="2:27" x14ac:dyDescent="0.35">
      <c r="X13" s="2">
        <v>28</v>
      </c>
      <c r="Y13" s="2">
        <f t="shared" si="1"/>
        <v>2000</v>
      </c>
      <c r="Z13" s="2">
        <v>24.652797614706923</v>
      </c>
      <c r="AA13" s="21">
        <f t="shared" si="0"/>
        <v>1.2326398807353462E-2</v>
      </c>
    </row>
    <row r="14" spans="2:27" ht="18.75" customHeight="1" x14ac:dyDescent="0.35">
      <c r="E14" s="16" t="s">
        <v>25</v>
      </c>
      <c r="F14" s="16" t="s">
        <v>26</v>
      </c>
      <c r="G14" s="16" t="s">
        <v>27</v>
      </c>
      <c r="H14" s="16" t="s">
        <v>28</v>
      </c>
      <c r="I14" s="16" t="s">
        <v>29</v>
      </c>
      <c r="K14" s="4"/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32</v>
      </c>
      <c r="Q14" s="4" t="s">
        <v>33</v>
      </c>
      <c r="R14" s="4" t="s">
        <v>34</v>
      </c>
      <c r="S14" s="4" t="s">
        <v>35</v>
      </c>
      <c r="T14" s="4" t="s">
        <v>15</v>
      </c>
      <c r="U14" s="4" t="s">
        <v>19</v>
      </c>
      <c r="V14" s="4" t="s">
        <v>17</v>
      </c>
      <c r="X14" s="2">
        <v>29</v>
      </c>
      <c r="Y14" s="2">
        <f t="shared" si="1"/>
        <v>2000</v>
      </c>
      <c r="Z14" s="2">
        <v>24.856807091505889</v>
      </c>
      <c r="AA14" s="21">
        <f t="shared" si="0"/>
        <v>1.2428403545752944E-2</v>
      </c>
    </row>
    <row r="15" spans="2:27" x14ac:dyDescent="0.35">
      <c r="B15" s="15"/>
      <c r="E15" s="16">
        <v>0</v>
      </c>
      <c r="F15" s="17">
        <v>1000000</v>
      </c>
      <c r="G15" s="17">
        <f>F15-F16</f>
        <v>12887</v>
      </c>
      <c r="H15" s="18">
        <f>G15/F15</f>
        <v>1.2886999999999999E-2</v>
      </c>
      <c r="I15" s="18">
        <f>1-H15</f>
        <v>0.98711300000000002</v>
      </c>
      <c r="K15" s="4">
        <v>0</v>
      </c>
      <c r="L15" s="4">
        <v>0</v>
      </c>
      <c r="M15" s="4">
        <f>1-L15</f>
        <v>1</v>
      </c>
      <c r="N15" s="4">
        <f>M15</f>
        <v>1</v>
      </c>
      <c r="O15" s="5">
        <v>7.0000000000000007E-2</v>
      </c>
      <c r="P15" s="4">
        <f>1/(1+O15)</f>
        <v>0.93457943925233644</v>
      </c>
      <c r="Q15" s="4">
        <f>O15/LN(1+O15)</f>
        <v>1.0346053546590026</v>
      </c>
      <c r="R15" s="4">
        <f>P15^K15</f>
        <v>1</v>
      </c>
      <c r="S15" s="4">
        <f t="shared" ref="S15:S37" si="2">N15*L16*R16*Q15</f>
        <v>5.6383514619200853E-4</v>
      </c>
      <c r="T15" s="4">
        <f>S15</f>
        <v>5.6383514619200853E-4</v>
      </c>
      <c r="U15" s="4">
        <f>R15*N15</f>
        <v>1</v>
      </c>
      <c r="V15" s="4">
        <f>U15</f>
        <v>1</v>
      </c>
      <c r="X15" s="2">
        <v>30</v>
      </c>
      <c r="Y15" s="2">
        <f t="shared" si="1"/>
        <v>2000</v>
      </c>
      <c r="Z15" s="2">
        <v>25.16487034422919</v>
      </c>
      <c r="AA15" s="21">
        <f t="shared" si="0"/>
        <v>1.2582435172114595E-2</v>
      </c>
    </row>
    <row r="16" spans="2:27" x14ac:dyDescent="0.35">
      <c r="E16" s="16">
        <v>1</v>
      </c>
      <c r="F16" s="17">
        <v>987113</v>
      </c>
      <c r="G16" s="17">
        <f t="shared" ref="G16:G79" si="3">F16-F17</f>
        <v>1906</v>
      </c>
      <c r="H16" s="18">
        <f t="shared" ref="H16:H79" si="4">G16/F16</f>
        <v>1.9308832929968505E-3</v>
      </c>
      <c r="I16" s="18">
        <f t="shared" ref="I16:I79" si="5">1-H16</f>
        <v>0.99806911670700316</v>
      </c>
      <c r="K16" s="4">
        <v>1</v>
      </c>
      <c r="L16" s="4">
        <f t="shared" ref="L16:L38" si="6">VLOOKUP($C$2-1+K16,E:I,4,0)</f>
        <v>5.8312438043034583E-4</v>
      </c>
      <c r="M16" s="4">
        <f t="shared" ref="M16:M38" si="7">1-L16</f>
        <v>0.9994168756195696</v>
      </c>
      <c r="N16" s="4">
        <f>N15*M16</f>
        <v>0.9994168756195696</v>
      </c>
      <c r="O16" s="5">
        <f>O15</f>
        <v>7.0000000000000007E-2</v>
      </c>
      <c r="P16" s="4">
        <f t="shared" ref="P16:P38" si="8">1/(1+O16)</f>
        <v>0.93457943925233644</v>
      </c>
      <c r="Q16" s="4">
        <f t="shared" ref="Q16:Q38" si="9">O16/LN(1+O16)</f>
        <v>1.0346053546590026</v>
      </c>
      <c r="R16" s="4">
        <f t="shared" ref="R16:R38" si="10">P16^K16</f>
        <v>0.93457943925233644</v>
      </c>
      <c r="S16" s="4">
        <f t="shared" si="2"/>
        <v>5.5468287869356466E-4</v>
      </c>
      <c r="T16" s="4">
        <f>T15+S16</f>
        <v>1.1185180248855732E-3</v>
      </c>
      <c r="U16" s="4">
        <f>R16*N16</f>
        <v>0.93403446319585948</v>
      </c>
      <c r="V16" s="4">
        <f>V15+U16</f>
        <v>1.9340344631958595</v>
      </c>
      <c r="X16" s="2">
        <v>31</v>
      </c>
      <c r="Y16" s="2">
        <f t="shared" si="1"/>
        <v>2000</v>
      </c>
      <c r="Z16" s="2">
        <v>25.278925455956742</v>
      </c>
      <c r="AA16" s="21">
        <f t="shared" si="0"/>
        <v>1.2639462727978371E-2</v>
      </c>
    </row>
    <row r="17" spans="2:27" x14ac:dyDescent="0.35">
      <c r="E17" s="16">
        <v>2</v>
      </c>
      <c r="F17" s="17">
        <v>985207</v>
      </c>
      <c r="G17" s="17">
        <f t="shared" si="3"/>
        <v>1068</v>
      </c>
      <c r="H17" s="18">
        <f t="shared" si="4"/>
        <v>1.0840361467184055E-3</v>
      </c>
      <c r="I17" s="18">
        <f t="shared" si="5"/>
        <v>0.99891596385328163</v>
      </c>
      <c r="K17" s="4">
        <v>2</v>
      </c>
      <c r="L17" s="4">
        <f t="shared" si="6"/>
        <v>6.1417327670655727E-4</v>
      </c>
      <c r="M17" s="4">
        <f t="shared" si="7"/>
        <v>0.99938582672329346</v>
      </c>
      <c r="N17" s="4">
        <f>N16*M17</f>
        <v>0.99880306048227452</v>
      </c>
      <c r="O17" s="5">
        <f t="shared" ref="O17:O38" si="11">O16</f>
        <v>7.0000000000000007E-2</v>
      </c>
      <c r="P17" s="4">
        <f t="shared" si="8"/>
        <v>0.93457943925233644</v>
      </c>
      <c r="Q17" s="4">
        <f t="shared" si="9"/>
        <v>1.0346053546590026</v>
      </c>
      <c r="R17" s="4">
        <f t="shared" si="10"/>
        <v>0.87343872827321167</v>
      </c>
      <c r="S17" s="4">
        <f t="shared" si="2"/>
        <v>5.5727485476222613E-4</v>
      </c>
      <c r="T17" s="4">
        <f t="shared" ref="T17:T38" si="12">T16+S17</f>
        <v>1.6757928796477992E-3</v>
      </c>
      <c r="U17" s="4">
        <f t="shared" ref="U17:U38" si="13">R17*N17</f>
        <v>0.87239327494302954</v>
      </c>
      <c r="V17" s="4">
        <f t="shared" ref="V17:V38" si="14">V16+U17</f>
        <v>2.8064277381388889</v>
      </c>
      <c r="X17" s="2">
        <v>32</v>
      </c>
      <c r="Y17" s="2">
        <f t="shared" si="1"/>
        <v>2000</v>
      </c>
      <c r="Z17" s="2">
        <v>26.06550327560635</v>
      </c>
      <c r="AA17" s="21">
        <f t="shared" si="0"/>
        <v>1.3032751637803175E-2</v>
      </c>
    </row>
    <row r="18" spans="2:27" x14ac:dyDescent="0.35">
      <c r="E18" s="16">
        <v>3</v>
      </c>
      <c r="F18" s="17">
        <v>984139</v>
      </c>
      <c r="G18" s="17">
        <f t="shared" si="3"/>
        <v>701</v>
      </c>
      <c r="H18" s="18">
        <f t="shared" si="4"/>
        <v>7.1229775468709198E-4</v>
      </c>
      <c r="I18" s="18">
        <f t="shared" si="5"/>
        <v>0.99928770224531294</v>
      </c>
      <c r="K18" s="4">
        <v>3</v>
      </c>
      <c r="L18" s="4">
        <f t="shared" si="6"/>
        <v>6.6064202113439916E-4</v>
      </c>
      <c r="M18" s="4">
        <f t="shared" si="7"/>
        <v>0.99933935797886564</v>
      </c>
      <c r="N18" s="4">
        <f t="shared" ref="N18:N38" si="15">N17*M18</f>
        <v>0.99814320920968236</v>
      </c>
      <c r="O18" s="5">
        <f t="shared" si="11"/>
        <v>7.0000000000000007E-2</v>
      </c>
      <c r="P18" s="4">
        <f t="shared" si="8"/>
        <v>0.93457943925233644</v>
      </c>
      <c r="Q18" s="4">
        <f t="shared" si="9"/>
        <v>1.0346053546590026</v>
      </c>
      <c r="R18" s="4">
        <f t="shared" si="10"/>
        <v>0.81629787689085198</v>
      </c>
      <c r="S18" s="4">
        <f t="shared" si="2"/>
        <v>5.3777447405874471E-4</v>
      </c>
      <c r="T18" s="4">
        <f t="shared" si="12"/>
        <v>2.2135673537065437E-3</v>
      </c>
      <c r="U18" s="4">
        <f t="shared" si="13"/>
        <v>0.81478218251088519</v>
      </c>
      <c r="V18" s="4">
        <f t="shared" si="14"/>
        <v>3.6212099206497741</v>
      </c>
      <c r="X18" s="2">
        <v>33</v>
      </c>
      <c r="Y18" s="2">
        <f t="shared" si="1"/>
        <v>2000</v>
      </c>
      <c r="Z18" s="2">
        <v>26.203221263816342</v>
      </c>
      <c r="AA18" s="21">
        <f t="shared" si="0"/>
        <v>1.3101610631908171E-2</v>
      </c>
    </row>
    <row r="19" spans="2:27" x14ac:dyDescent="0.35">
      <c r="E19" s="16">
        <v>4</v>
      </c>
      <c r="F19" s="17">
        <v>983438</v>
      </c>
      <c r="G19" s="17">
        <f t="shared" si="3"/>
        <v>536</v>
      </c>
      <c r="H19" s="18">
        <f t="shared" si="4"/>
        <v>5.4502673274776849E-4</v>
      </c>
      <c r="I19" s="18">
        <f t="shared" si="5"/>
        <v>0.99945497326725219</v>
      </c>
      <c r="K19" s="4">
        <v>4</v>
      </c>
      <c r="L19" s="4">
        <f t="shared" si="6"/>
        <v>6.826022519724745E-4</v>
      </c>
      <c r="M19" s="4">
        <f t="shared" si="7"/>
        <v>0.99931739774802752</v>
      </c>
      <c r="N19" s="4">
        <f t="shared" si="15"/>
        <v>0.99746187440728484</v>
      </c>
      <c r="O19" s="5">
        <f t="shared" si="11"/>
        <v>7.0000000000000007E-2</v>
      </c>
      <c r="P19" s="4">
        <f t="shared" si="8"/>
        <v>0.93457943925233644</v>
      </c>
      <c r="Q19" s="4">
        <f t="shared" si="9"/>
        <v>1.0346053546590026</v>
      </c>
      <c r="R19" s="4">
        <f t="shared" si="10"/>
        <v>0.76289521204752531</v>
      </c>
      <c r="S19" s="4">
        <f t="shared" si="2"/>
        <v>5.4409839156402417E-4</v>
      </c>
      <c r="T19" s="4">
        <f t="shared" si="12"/>
        <v>2.7576657452705678E-3</v>
      </c>
      <c r="U19" s="4">
        <f t="shared" si="13"/>
        <v>0.76095888818526758</v>
      </c>
      <c r="V19" s="4">
        <f t="shared" si="14"/>
        <v>4.3821688088350417</v>
      </c>
      <c r="X19" s="2">
        <v>34</v>
      </c>
      <c r="Y19" s="2">
        <f t="shared" si="1"/>
        <v>2000</v>
      </c>
      <c r="Z19" s="2">
        <v>26.308925842706099</v>
      </c>
      <c r="AA19" s="21">
        <f t="shared" si="0"/>
        <v>1.315446292135305E-2</v>
      </c>
    </row>
    <row r="20" spans="2:27" x14ac:dyDescent="0.35">
      <c r="E20" s="16">
        <v>5</v>
      </c>
      <c r="F20" s="17">
        <v>982902</v>
      </c>
      <c r="G20" s="17">
        <f t="shared" si="3"/>
        <v>487</v>
      </c>
      <c r="H20" s="18">
        <f t="shared" si="4"/>
        <v>4.9547157295437387E-4</v>
      </c>
      <c r="I20" s="18">
        <f t="shared" si="5"/>
        <v>0.99950452842704562</v>
      </c>
      <c r="K20" s="4">
        <v>5</v>
      </c>
      <c r="L20" s="4">
        <f t="shared" si="6"/>
        <v>7.3947807821852444E-4</v>
      </c>
      <c r="M20" s="4">
        <f t="shared" si="7"/>
        <v>0.9992605219217815</v>
      </c>
      <c r="N20" s="4">
        <f>N19*M20</f>
        <v>0.99672427321730195</v>
      </c>
      <c r="O20" s="5">
        <f t="shared" si="11"/>
        <v>7.0000000000000007E-2</v>
      </c>
      <c r="P20" s="4">
        <f t="shared" si="8"/>
        <v>0.93457943925233644</v>
      </c>
      <c r="Q20" s="4">
        <f t="shared" si="9"/>
        <v>1.0346053546590026</v>
      </c>
      <c r="R20" s="4">
        <f t="shared" si="10"/>
        <v>0.71298617948366849</v>
      </c>
      <c r="S20" s="4">
        <f t="shared" si="2"/>
        <v>5.3389306442760758E-4</v>
      </c>
      <c r="T20" s="4">
        <f t="shared" si="12"/>
        <v>3.2915588096981752E-3</v>
      </c>
      <c r="U20" s="4">
        <f>R20*N20</f>
        <v>0.71065063155984032</v>
      </c>
      <c r="V20" s="4">
        <f t="shared" si="14"/>
        <v>5.0928194403948819</v>
      </c>
      <c r="X20" s="2">
        <v>35</v>
      </c>
      <c r="Y20" s="2">
        <f t="shared" si="1"/>
        <v>2000</v>
      </c>
      <c r="Z20" s="2">
        <v>26.7543285121052</v>
      </c>
      <c r="AA20" s="21">
        <f t="shared" si="0"/>
        <v>1.33771642560526E-2</v>
      </c>
    </row>
    <row r="21" spans="2:27" x14ac:dyDescent="0.35">
      <c r="B21" s="20"/>
      <c r="E21" s="16">
        <v>6</v>
      </c>
      <c r="F21" s="17">
        <v>982415</v>
      </c>
      <c r="G21" s="17">
        <f t="shared" si="3"/>
        <v>464</v>
      </c>
      <c r="H21" s="18">
        <f t="shared" si="4"/>
        <v>4.7230549207819504E-4</v>
      </c>
      <c r="I21" s="18">
        <f t="shared" si="5"/>
        <v>0.99952769450792178</v>
      </c>
      <c r="K21" s="4">
        <v>6</v>
      </c>
      <c r="L21" s="4">
        <f t="shared" si="6"/>
        <v>7.7697525687910485E-4</v>
      </c>
      <c r="M21" s="4">
        <f t="shared" si="7"/>
        <v>0.99922302474312086</v>
      </c>
      <c r="N21" s="4">
        <f t="shared" si="15"/>
        <v>0.9959498431190813</v>
      </c>
      <c r="O21" s="5">
        <f t="shared" si="11"/>
        <v>7.0000000000000007E-2</v>
      </c>
      <c r="P21" s="4">
        <f t="shared" si="8"/>
        <v>0.93457943925233644</v>
      </c>
      <c r="Q21" s="4">
        <f t="shared" si="9"/>
        <v>1.0346053546590026</v>
      </c>
      <c r="R21" s="4">
        <f t="shared" si="10"/>
        <v>0.66634222381651265</v>
      </c>
      <c r="S21" s="4">
        <f t="shared" si="2"/>
        <v>5.5433285248412685E-4</v>
      </c>
      <c r="T21" s="4">
        <f t="shared" si="12"/>
        <v>3.8458916621823022E-3</v>
      </c>
      <c r="U21" s="4">
        <f t="shared" si="13"/>
        <v>0.66364343327367548</v>
      </c>
      <c r="V21" s="4">
        <f t="shared" si="14"/>
        <v>5.756462873668557</v>
      </c>
      <c r="X21" s="2">
        <v>36</v>
      </c>
      <c r="Y21" s="2">
        <f t="shared" si="1"/>
        <v>2000</v>
      </c>
      <c r="Z21" s="2">
        <v>27.062004763505652</v>
      </c>
      <c r="AA21" s="21">
        <f t="shared" si="0"/>
        <v>1.3531002381752826E-2</v>
      </c>
    </row>
    <row r="22" spans="2:27" x14ac:dyDescent="0.35">
      <c r="E22" s="16">
        <v>7</v>
      </c>
      <c r="F22" s="17">
        <v>981951</v>
      </c>
      <c r="G22" s="17">
        <f t="shared" si="3"/>
        <v>429</v>
      </c>
      <c r="H22" s="18">
        <f t="shared" si="4"/>
        <v>4.3688534356602315E-4</v>
      </c>
      <c r="I22" s="18">
        <f t="shared" si="5"/>
        <v>0.99956311465643399</v>
      </c>
      <c r="K22" s="4">
        <v>7</v>
      </c>
      <c r="L22" s="4">
        <f t="shared" si="6"/>
        <v>8.6386299810792429E-4</v>
      </c>
      <c r="M22" s="4">
        <f t="shared" si="7"/>
        <v>0.99913613700189208</v>
      </c>
      <c r="N22" s="4">
        <f t="shared" si="15"/>
        <v>0.99508947890163935</v>
      </c>
      <c r="O22" s="5">
        <f t="shared" si="11"/>
        <v>7.0000000000000007E-2</v>
      </c>
      <c r="P22" s="4">
        <f t="shared" si="8"/>
        <v>0.93457943925233644</v>
      </c>
      <c r="Q22" s="4">
        <f t="shared" si="9"/>
        <v>1.0346053546590026</v>
      </c>
      <c r="R22" s="4">
        <f t="shared" si="10"/>
        <v>0.6227497418845912</v>
      </c>
      <c r="S22" s="4">
        <f t="shared" si="2"/>
        <v>5.2730830200630396E-4</v>
      </c>
      <c r="T22" s="4">
        <f t="shared" si="12"/>
        <v>4.373199964188606E-3</v>
      </c>
      <c r="U22" s="4">
        <f t="shared" si="13"/>
        <v>0.61969171613806828</v>
      </c>
      <c r="V22" s="4">
        <f t="shared" si="14"/>
        <v>6.3761545898066254</v>
      </c>
      <c r="X22" s="2">
        <v>37</v>
      </c>
      <c r="Y22" s="2">
        <f t="shared" si="1"/>
        <v>2000</v>
      </c>
      <c r="Z22" s="2">
        <v>27.523736670449619</v>
      </c>
      <c r="AA22" s="21">
        <f t="shared" si="0"/>
        <v>1.376186833522481E-2</v>
      </c>
    </row>
    <row r="23" spans="2:27" x14ac:dyDescent="0.35">
      <c r="B23"/>
      <c r="C23" s="19"/>
      <c r="E23" s="16">
        <v>8</v>
      </c>
      <c r="F23" s="17">
        <v>981522</v>
      </c>
      <c r="G23" s="17">
        <f t="shared" si="3"/>
        <v>411</v>
      </c>
      <c r="H23" s="18">
        <f t="shared" si="4"/>
        <v>4.1873743023589896E-4</v>
      </c>
      <c r="I23" s="18">
        <f t="shared" si="5"/>
        <v>0.9995812625697641</v>
      </c>
      <c r="K23" s="4">
        <v>8</v>
      </c>
      <c r="L23" s="4">
        <f t="shared" si="6"/>
        <v>8.8003100669995567E-4</v>
      </c>
      <c r="M23" s="4">
        <f t="shared" si="7"/>
        <v>0.99911996899330002</v>
      </c>
      <c r="N23" s="4">
        <f t="shared" si="15"/>
        <v>0.99421376930576499</v>
      </c>
      <c r="O23" s="5">
        <f t="shared" si="11"/>
        <v>7.0000000000000007E-2</v>
      </c>
      <c r="P23" s="4">
        <f t="shared" si="8"/>
        <v>0.93457943925233644</v>
      </c>
      <c r="Q23" s="4">
        <f t="shared" si="9"/>
        <v>1.0346053546590026</v>
      </c>
      <c r="R23" s="4">
        <f t="shared" si="10"/>
        <v>0.58200910456503863</v>
      </c>
      <c r="S23" s="4">
        <f t="shared" si="2"/>
        <v>5.3771721774160171E-4</v>
      </c>
      <c r="T23" s="4">
        <f t="shared" si="12"/>
        <v>4.9109171819302078E-3</v>
      </c>
      <c r="U23" s="4">
        <f t="shared" si="13"/>
        <v>0.57864146561988017</v>
      </c>
      <c r="V23" s="4">
        <f t="shared" si="14"/>
        <v>6.954796055426506</v>
      </c>
      <c r="X23" s="2">
        <v>38</v>
      </c>
      <c r="Y23" s="2">
        <f t="shared" si="1"/>
        <v>2000</v>
      </c>
      <c r="Z23" s="2">
        <v>28.332463099310885</v>
      </c>
      <c r="AA23" s="21">
        <f t="shared" si="0"/>
        <v>1.4166231549655442E-2</v>
      </c>
    </row>
    <row r="24" spans="2:27" x14ac:dyDescent="0.35">
      <c r="B24"/>
      <c r="C24" s="19"/>
      <c r="E24" s="16">
        <v>9</v>
      </c>
      <c r="F24" s="17">
        <v>981111</v>
      </c>
      <c r="G24" s="17">
        <f t="shared" si="3"/>
        <v>403</v>
      </c>
      <c r="H24" s="18">
        <f t="shared" si="4"/>
        <v>4.1075882341549529E-4</v>
      </c>
      <c r="I24" s="18">
        <f t="shared" si="5"/>
        <v>0.99958924117658454</v>
      </c>
      <c r="K24" s="4">
        <v>9</v>
      </c>
      <c r="L24" s="4">
        <f t="shared" si="6"/>
        <v>9.6106651629851512E-4</v>
      </c>
      <c r="M24" s="4">
        <f t="shared" si="7"/>
        <v>0.99903893348370143</v>
      </c>
      <c r="N24" s="4">
        <f t="shared" si="15"/>
        <v>0.99325826374204218</v>
      </c>
      <c r="O24" s="5">
        <f t="shared" si="11"/>
        <v>7.0000000000000007E-2</v>
      </c>
      <c r="P24" s="4">
        <f t="shared" si="8"/>
        <v>0.93457943925233644</v>
      </c>
      <c r="Q24" s="4">
        <f t="shared" si="9"/>
        <v>1.0346053546590026</v>
      </c>
      <c r="R24" s="4">
        <f t="shared" si="10"/>
        <v>0.54393374258414828</v>
      </c>
      <c r="S24" s="4">
        <f t="shared" si="2"/>
        <v>5.2675174224922248E-4</v>
      </c>
      <c r="T24" s="4">
        <f t="shared" si="12"/>
        <v>5.4376689241794306E-3</v>
      </c>
      <c r="U24" s="4">
        <f t="shared" si="13"/>
        <v>0.54026668474984207</v>
      </c>
      <c r="V24" s="4">
        <f t="shared" si="14"/>
        <v>7.4950627401763477</v>
      </c>
      <c r="X24" s="2">
        <v>39</v>
      </c>
      <c r="Y24" s="2">
        <f t="shared" si="1"/>
        <v>2000</v>
      </c>
      <c r="Z24" s="2">
        <v>28.42373722634802</v>
      </c>
      <c r="AA24" s="21">
        <f t="shared" si="0"/>
        <v>1.4211868613174011E-2</v>
      </c>
    </row>
    <row r="25" spans="2:27" x14ac:dyDescent="0.35">
      <c r="B25"/>
      <c r="C25" s="19"/>
      <c r="E25" s="16">
        <v>10</v>
      </c>
      <c r="F25" s="17">
        <v>980708</v>
      </c>
      <c r="G25" s="17">
        <f t="shared" si="3"/>
        <v>392</v>
      </c>
      <c r="H25" s="18">
        <f t="shared" si="4"/>
        <v>3.9971122903045554E-4</v>
      </c>
      <c r="I25" s="18">
        <f t="shared" si="5"/>
        <v>0.99960028877096951</v>
      </c>
      <c r="K25" s="4">
        <v>10</v>
      </c>
      <c r="L25" s="4">
        <f t="shared" si="6"/>
        <v>1.0083396590596589E-3</v>
      </c>
      <c r="M25" s="4">
        <f t="shared" si="7"/>
        <v>0.99899166034094034</v>
      </c>
      <c r="N25" s="4">
        <f t="shared" si="15"/>
        <v>0.99225672204302229</v>
      </c>
      <c r="O25" s="5">
        <f t="shared" si="11"/>
        <v>7.0000000000000007E-2</v>
      </c>
      <c r="P25" s="4">
        <f t="shared" si="8"/>
        <v>0.93457943925233644</v>
      </c>
      <c r="Q25" s="4">
        <f t="shared" si="9"/>
        <v>1.0346053546590026</v>
      </c>
      <c r="R25" s="4">
        <f t="shared" si="10"/>
        <v>0.50834929213471802</v>
      </c>
      <c r="S25" s="4">
        <f t="shared" si="2"/>
        <v>5.345308506781891E-4</v>
      </c>
      <c r="T25" s="4">
        <f>T24+S25</f>
        <v>5.97219977485762E-3</v>
      </c>
      <c r="U25" s="4">
        <f t="shared" si="13"/>
        <v>0.504413002266486</v>
      </c>
      <c r="V25" s="4">
        <f t="shared" si="14"/>
        <v>7.9994757424428338</v>
      </c>
      <c r="X25" s="2">
        <v>40</v>
      </c>
      <c r="Y25" s="2">
        <f t="shared" si="1"/>
        <v>2000</v>
      </c>
      <c r="Z25" s="2">
        <v>29.18023155017524</v>
      </c>
      <c r="AA25" s="21">
        <f t="shared" si="0"/>
        <v>1.459011577508762E-2</v>
      </c>
    </row>
    <row r="26" spans="2:27" x14ac:dyDescent="0.35">
      <c r="C26" s="19"/>
      <c r="E26" s="16">
        <v>11</v>
      </c>
      <c r="F26" s="17">
        <v>980316</v>
      </c>
      <c r="G26" s="17">
        <f t="shared" si="3"/>
        <v>375</v>
      </c>
      <c r="H26" s="18">
        <f t="shared" si="4"/>
        <v>3.8252971490825407E-4</v>
      </c>
      <c r="I26" s="18">
        <f t="shared" si="5"/>
        <v>0.99961747028509174</v>
      </c>
      <c r="K26" s="4">
        <v>11</v>
      </c>
      <c r="L26" s="4">
        <f t="shared" si="6"/>
        <v>1.095962157859791E-3</v>
      </c>
      <c r="M26" s="4">
        <f t="shared" si="7"/>
        <v>0.99890403784214021</v>
      </c>
      <c r="N26" s="4">
        <f t="shared" si="15"/>
        <v>0.99116924622478109</v>
      </c>
      <c r="O26" s="5">
        <f t="shared" si="11"/>
        <v>7.0000000000000007E-2</v>
      </c>
      <c r="P26" s="4">
        <f t="shared" si="8"/>
        <v>0.93457943925233644</v>
      </c>
      <c r="Q26" s="4">
        <f t="shared" si="9"/>
        <v>1.0346053546590026</v>
      </c>
      <c r="R26" s="4">
        <f t="shared" si="10"/>
        <v>0.47509279638758689</v>
      </c>
      <c r="S26" s="4">
        <f t="shared" si="2"/>
        <v>5.3151844288078362E-4</v>
      </c>
      <c r="T26" s="4">
        <f t="shared" si="12"/>
        <v>6.503718217738404E-3</v>
      </c>
      <c r="U26" s="4">
        <f t="shared" si="13"/>
        <v>0.47089736888230788</v>
      </c>
      <c r="V26" s="4">
        <f t="shared" si="14"/>
        <v>8.4703731113251415</v>
      </c>
      <c r="X26" s="2">
        <v>41</v>
      </c>
      <c r="Y26" s="2">
        <f t="shared" si="1"/>
        <v>2000</v>
      </c>
      <c r="Z26" s="2">
        <v>29.95464493272074</v>
      </c>
      <c r="AA26" s="21">
        <f t="shared" si="0"/>
        <v>1.497732246636037E-2</v>
      </c>
    </row>
    <row r="27" spans="2:27" x14ac:dyDescent="0.35">
      <c r="C27" s="19"/>
      <c r="E27" s="16">
        <v>12</v>
      </c>
      <c r="F27" s="17">
        <v>979941</v>
      </c>
      <c r="G27" s="17">
        <f t="shared" si="3"/>
        <v>342</v>
      </c>
      <c r="H27" s="18">
        <f t="shared" si="4"/>
        <v>3.4900060309753342E-4</v>
      </c>
      <c r="I27" s="18">
        <f t="shared" si="5"/>
        <v>0.9996509993969025</v>
      </c>
      <c r="K27" s="4">
        <v>12</v>
      </c>
      <c r="L27" s="4">
        <f t="shared" si="6"/>
        <v>1.1673501152384088E-3</v>
      </c>
      <c r="M27" s="4">
        <f t="shared" si="7"/>
        <v>0.99883264988476161</v>
      </c>
      <c r="N27" s="4">
        <f t="shared" si="15"/>
        <v>0.99001220469097984</v>
      </c>
      <c r="O27" s="5">
        <f t="shared" si="11"/>
        <v>7.0000000000000007E-2</v>
      </c>
      <c r="P27" s="4">
        <f t="shared" si="8"/>
        <v>0.93457943925233644</v>
      </c>
      <c r="Q27" s="4">
        <f t="shared" si="9"/>
        <v>1.0346053546590026</v>
      </c>
      <c r="R27" s="4">
        <f t="shared" si="10"/>
        <v>0.4440119592407355</v>
      </c>
      <c r="S27" s="4">
        <f t="shared" si="2"/>
        <v>5.4198481082400561E-4</v>
      </c>
      <c r="T27" s="4">
        <f t="shared" si="12"/>
        <v>7.0457030285624098E-3</v>
      </c>
      <c r="U27" s="4">
        <f t="shared" si="13"/>
        <v>0.43957725867708203</v>
      </c>
      <c r="V27" s="4">
        <f t="shared" si="14"/>
        <v>8.9099503700022229</v>
      </c>
      <c r="X27" s="2">
        <v>42</v>
      </c>
      <c r="Y27" s="2">
        <f t="shared" si="1"/>
        <v>2000</v>
      </c>
      <c r="Z27" s="2">
        <v>30.641917662639585</v>
      </c>
      <c r="AA27" s="21">
        <f t="shared" si="0"/>
        <v>1.5320958831319793E-2</v>
      </c>
    </row>
    <row r="28" spans="2:27" x14ac:dyDescent="0.35">
      <c r="E28" s="16">
        <v>13</v>
      </c>
      <c r="F28" s="17">
        <v>979599</v>
      </c>
      <c r="G28" s="17">
        <f t="shared" si="3"/>
        <v>343</v>
      </c>
      <c r="H28" s="18">
        <f t="shared" si="4"/>
        <v>3.5014327291065016E-4</v>
      </c>
      <c r="I28" s="18">
        <f t="shared" si="5"/>
        <v>0.99964985672708939</v>
      </c>
      <c r="K28" s="4">
        <v>13</v>
      </c>
      <c r="L28" s="4">
        <f t="shared" si="6"/>
        <v>1.2751490601717421E-3</v>
      </c>
      <c r="M28" s="4">
        <f t="shared" si="7"/>
        <v>0.99872485093982821</v>
      </c>
      <c r="N28" s="4">
        <f t="shared" si="15"/>
        <v>0.98874979155860954</v>
      </c>
      <c r="O28" s="5">
        <f t="shared" si="11"/>
        <v>7.0000000000000007E-2</v>
      </c>
      <c r="P28" s="4">
        <f t="shared" si="8"/>
        <v>0.93457943925233644</v>
      </c>
      <c r="Q28" s="4">
        <f t="shared" si="9"/>
        <v>1.0346053546590026</v>
      </c>
      <c r="R28" s="4">
        <f t="shared" si="10"/>
        <v>0.41496444788853781</v>
      </c>
      <c r="S28" s="4">
        <f t="shared" si="2"/>
        <v>5.2171548687295413E-4</v>
      </c>
      <c r="T28" s="4">
        <f t="shared" si="12"/>
        <v>7.5674185154353639E-3</v>
      </c>
      <c r="U28" s="4">
        <f t="shared" si="13"/>
        <v>0.41029601135402527</v>
      </c>
      <c r="V28" s="4">
        <f t="shared" si="14"/>
        <v>9.3202463813562488</v>
      </c>
      <c r="X28" s="2">
        <v>43</v>
      </c>
      <c r="Y28" s="2">
        <f t="shared" si="1"/>
        <v>2000</v>
      </c>
      <c r="Z28" s="2">
        <v>31.587368269236151</v>
      </c>
      <c r="AA28" s="21">
        <f t="shared" si="0"/>
        <v>1.5793684134618076E-2</v>
      </c>
    </row>
    <row r="29" spans="2:27" x14ac:dyDescent="0.35">
      <c r="E29" s="16">
        <v>14</v>
      </c>
      <c r="F29" s="17">
        <v>979256</v>
      </c>
      <c r="G29" s="17">
        <f t="shared" si="3"/>
        <v>376</v>
      </c>
      <c r="H29" s="18">
        <f t="shared" si="4"/>
        <v>3.8396496932364981E-4</v>
      </c>
      <c r="I29" s="18">
        <f t="shared" si="5"/>
        <v>0.99961603503067631</v>
      </c>
      <c r="K29" s="4">
        <v>14</v>
      </c>
      <c r="L29" s="4">
        <f t="shared" si="6"/>
        <v>1.3150597622752706E-3</v>
      </c>
      <c r="M29" s="4">
        <f t="shared" si="7"/>
        <v>0.99868494023772469</v>
      </c>
      <c r="N29" s="4">
        <f t="shared" si="15"/>
        <v>0.98744952649277273</v>
      </c>
      <c r="O29" s="5">
        <f t="shared" si="11"/>
        <v>7.0000000000000007E-2</v>
      </c>
      <c r="P29" s="4">
        <f t="shared" si="8"/>
        <v>0.93457943925233644</v>
      </c>
      <c r="Q29" s="4">
        <f t="shared" si="9"/>
        <v>1.0346053546590026</v>
      </c>
      <c r="R29" s="4">
        <f t="shared" si="10"/>
        <v>0.38781724101732507</v>
      </c>
      <c r="S29" s="4">
        <f t="shared" si="2"/>
        <v>5.8886098395551708E-4</v>
      </c>
      <c r="T29" s="4">
        <f t="shared" si="12"/>
        <v>8.1562794993908817E-3</v>
      </c>
      <c r="U29" s="4">
        <f t="shared" si="13"/>
        <v>0.38294995100829116</v>
      </c>
      <c r="V29" s="4">
        <f t="shared" si="14"/>
        <v>9.7031963323645396</v>
      </c>
      <c r="X29" s="2">
        <v>44</v>
      </c>
      <c r="Y29" s="2">
        <f t="shared" si="1"/>
        <v>2000</v>
      </c>
      <c r="Z29" s="2">
        <v>32.362803543794165</v>
      </c>
      <c r="AA29" s="21">
        <f t="shared" si="0"/>
        <v>1.6181401771897082E-2</v>
      </c>
    </row>
    <row r="30" spans="2:27" x14ac:dyDescent="0.35">
      <c r="E30" s="16">
        <v>15</v>
      </c>
      <c r="F30" s="17">
        <v>978880</v>
      </c>
      <c r="G30" s="17">
        <f t="shared" si="3"/>
        <v>429</v>
      </c>
      <c r="H30" s="18">
        <f t="shared" si="4"/>
        <v>4.3825596600196144E-4</v>
      </c>
      <c r="I30" s="18">
        <f t="shared" si="5"/>
        <v>0.999561744033998</v>
      </c>
      <c r="K30" s="4">
        <v>15</v>
      </c>
      <c r="L30" s="4">
        <f t="shared" si="6"/>
        <v>1.5903027791447589E-3</v>
      </c>
      <c r="M30" s="4">
        <f t="shared" si="7"/>
        <v>0.99840969722085526</v>
      </c>
      <c r="N30" s="4">
        <f t="shared" si="15"/>
        <v>0.98587918276652609</v>
      </c>
      <c r="O30" s="5">
        <f t="shared" si="11"/>
        <v>7.0000000000000007E-2</v>
      </c>
      <c r="P30" s="4">
        <f t="shared" si="8"/>
        <v>0.93457943925233644</v>
      </c>
      <c r="Q30" s="4">
        <f t="shared" si="9"/>
        <v>1.0346053546590026</v>
      </c>
      <c r="R30" s="4">
        <f t="shared" si="10"/>
        <v>0.36244601964235984</v>
      </c>
      <c r="S30" s="4">
        <f t="shared" si="2"/>
        <v>5.6611251098405522E-4</v>
      </c>
      <c r="T30" s="4">
        <f t="shared" si="12"/>
        <v>8.7223920103749377E-3</v>
      </c>
      <c r="U30" s="4">
        <f t="shared" si="13"/>
        <v>0.35732798564198998</v>
      </c>
      <c r="V30" s="4">
        <f t="shared" si="14"/>
        <v>10.060524318006529</v>
      </c>
      <c r="X30" s="2">
        <v>45</v>
      </c>
      <c r="Y30" s="2">
        <f t="shared" si="1"/>
        <v>2000</v>
      </c>
      <c r="Z30" s="2">
        <v>33.702997796231095</v>
      </c>
      <c r="AA30" s="21">
        <f t="shared" si="0"/>
        <v>1.6851498898115547E-2</v>
      </c>
    </row>
    <row r="31" spans="2:27" x14ac:dyDescent="0.35">
      <c r="E31" s="16">
        <v>16</v>
      </c>
      <c r="F31" s="17">
        <v>978451</v>
      </c>
      <c r="G31" s="17">
        <f t="shared" si="3"/>
        <v>458</v>
      </c>
      <c r="H31" s="18">
        <f t="shared" si="4"/>
        <v>4.6808680250722825E-4</v>
      </c>
      <c r="I31" s="18">
        <f t="shared" si="5"/>
        <v>0.99953191319749279</v>
      </c>
      <c r="K31" s="4">
        <v>16</v>
      </c>
      <c r="L31" s="4">
        <f t="shared" si="6"/>
        <v>1.638493706482375E-3</v>
      </c>
      <c r="M31" s="4">
        <f t="shared" si="7"/>
        <v>0.99836150629351761</v>
      </c>
      <c r="N31" s="4">
        <f t="shared" si="15"/>
        <v>0.98426382593021111</v>
      </c>
      <c r="O31" s="5">
        <f t="shared" si="11"/>
        <v>7.0000000000000007E-2</v>
      </c>
      <c r="P31" s="4">
        <f t="shared" si="8"/>
        <v>0.93457943925233644</v>
      </c>
      <c r="Q31" s="4">
        <f t="shared" si="9"/>
        <v>1.0346053546590026</v>
      </c>
      <c r="R31" s="4">
        <f t="shared" si="10"/>
        <v>0.33873459779659809</v>
      </c>
      <c r="S31" s="4">
        <f t="shared" si="2"/>
        <v>5.4013445615425418E-4</v>
      </c>
      <c r="T31" s="4">
        <f t="shared" si="12"/>
        <v>9.2625264665291921E-3</v>
      </c>
      <c r="U31" s="4">
        <f t="shared" si="13"/>
        <v>0.33340421120221092</v>
      </c>
      <c r="V31" s="4">
        <f t="shared" si="14"/>
        <v>10.39392852920874</v>
      </c>
      <c r="X31" s="2">
        <v>46</v>
      </c>
      <c r="Y31" s="2">
        <f t="shared" si="1"/>
        <v>2000</v>
      </c>
      <c r="Z31" s="2">
        <v>34.70664315288338</v>
      </c>
      <c r="AA31" s="21">
        <f t="shared" si="0"/>
        <v>1.7353321576441691E-2</v>
      </c>
    </row>
    <row r="32" spans="2:27" x14ac:dyDescent="0.35">
      <c r="E32" s="16">
        <v>17</v>
      </c>
      <c r="F32" s="17">
        <v>977993</v>
      </c>
      <c r="G32" s="17">
        <f t="shared" si="3"/>
        <v>500</v>
      </c>
      <c r="H32" s="18">
        <f t="shared" si="4"/>
        <v>5.1125110302425482E-4</v>
      </c>
      <c r="I32" s="18">
        <f t="shared" si="5"/>
        <v>0.9994887488969757</v>
      </c>
      <c r="K32" s="4">
        <v>17</v>
      </c>
      <c r="L32" s="4">
        <f t="shared" si="6"/>
        <v>1.6754823507890461E-3</v>
      </c>
      <c r="M32" s="4">
        <f t="shared" si="7"/>
        <v>0.99832451764921093</v>
      </c>
      <c r="N32" s="4">
        <f t="shared" si="15"/>
        <v>0.98261470926134487</v>
      </c>
      <c r="O32" s="5">
        <f t="shared" si="11"/>
        <v>7.0000000000000007E-2</v>
      </c>
      <c r="P32" s="4">
        <f t="shared" si="8"/>
        <v>0.93457943925233644</v>
      </c>
      <c r="Q32" s="4">
        <f t="shared" si="9"/>
        <v>1.0346053546590026</v>
      </c>
      <c r="R32" s="4">
        <f t="shared" si="10"/>
        <v>0.31657439046411034</v>
      </c>
      <c r="S32" s="4">
        <f t="shared" si="2"/>
        <v>5.5083167619914485E-4</v>
      </c>
      <c r="T32" s="4">
        <f t="shared" si="12"/>
        <v>9.8133581427283373E-3</v>
      </c>
      <c r="U32" s="4">
        <f t="shared" si="13"/>
        <v>0.31107065264547923</v>
      </c>
      <c r="V32" s="4">
        <f t="shared" si="14"/>
        <v>10.70499918185422</v>
      </c>
      <c r="X32" s="2">
        <v>47</v>
      </c>
      <c r="Y32" s="2">
        <f t="shared" si="1"/>
        <v>2000</v>
      </c>
      <c r="Z32" s="2">
        <v>36.516142263302754</v>
      </c>
      <c r="AA32" s="21">
        <f t="shared" si="0"/>
        <v>1.8258071131651378E-2</v>
      </c>
    </row>
    <row r="33" spans="5:27" x14ac:dyDescent="0.35">
      <c r="E33" s="16">
        <v>18</v>
      </c>
      <c r="F33" s="17">
        <v>977493</v>
      </c>
      <c r="G33" s="17">
        <f t="shared" si="3"/>
        <v>570</v>
      </c>
      <c r="H33" s="18">
        <f t="shared" si="4"/>
        <v>5.8312438043034583E-4</v>
      </c>
      <c r="I33" s="18">
        <f t="shared" si="5"/>
        <v>0.9994168756195696</v>
      </c>
      <c r="K33" s="4">
        <v>18</v>
      </c>
      <c r="L33" s="4">
        <f t="shared" si="6"/>
        <v>1.8313397515249885E-3</v>
      </c>
      <c r="M33" s="4">
        <f t="shared" si="7"/>
        <v>0.99816866024847506</v>
      </c>
      <c r="N33" s="4">
        <f t="shared" si="15"/>
        <v>0.98081520788384147</v>
      </c>
      <c r="O33" s="5">
        <f t="shared" si="11"/>
        <v>7.0000000000000007E-2</v>
      </c>
      <c r="P33" s="4">
        <f t="shared" si="8"/>
        <v>0.93457943925233644</v>
      </c>
      <c r="Q33" s="4">
        <f t="shared" si="9"/>
        <v>1.0346053546590026</v>
      </c>
      <c r="R33" s="4">
        <f t="shared" si="10"/>
        <v>0.29586391632159847</v>
      </c>
      <c r="S33" s="4">
        <f t="shared" si="2"/>
        <v>5.4406235810183703E-4</v>
      </c>
      <c r="T33" s="4">
        <f t="shared" si="12"/>
        <v>1.0357420500830175E-2</v>
      </c>
      <c r="U33" s="4">
        <f t="shared" si="13"/>
        <v>0.29018782859229608</v>
      </c>
      <c r="V33" s="4">
        <f t="shared" si="14"/>
        <v>10.995187010446516</v>
      </c>
      <c r="X33" s="2">
        <v>48</v>
      </c>
      <c r="Y33" s="2">
        <f t="shared" si="1"/>
        <v>2000</v>
      </c>
      <c r="Z33" s="2">
        <v>38.169951405988783</v>
      </c>
      <c r="AA33" s="21">
        <f t="shared" si="0"/>
        <v>1.9084975702994392E-2</v>
      </c>
    </row>
    <row r="34" spans="5:27" x14ac:dyDescent="0.35">
      <c r="E34" s="16">
        <v>19</v>
      </c>
      <c r="F34" s="17">
        <v>976923</v>
      </c>
      <c r="G34" s="17">
        <f t="shared" si="3"/>
        <v>600</v>
      </c>
      <c r="H34" s="18">
        <f t="shared" si="4"/>
        <v>6.1417327670655727E-4</v>
      </c>
      <c r="I34" s="18">
        <f t="shared" si="5"/>
        <v>0.99938582672329346</v>
      </c>
      <c r="K34" s="4">
        <v>19</v>
      </c>
      <c r="L34" s="4">
        <f t="shared" si="6"/>
        <v>1.939003275131944E-3</v>
      </c>
      <c r="M34" s="4">
        <f t="shared" si="7"/>
        <v>0.99806099672486803</v>
      </c>
      <c r="N34" s="4">
        <f t="shared" si="15"/>
        <v>0.9789134039834555</v>
      </c>
      <c r="O34" s="5">
        <f t="shared" si="11"/>
        <v>7.0000000000000007E-2</v>
      </c>
      <c r="P34" s="4">
        <f t="shared" si="8"/>
        <v>0.93457943925233644</v>
      </c>
      <c r="Q34" s="4">
        <f t="shared" si="9"/>
        <v>1.0346053546590026</v>
      </c>
      <c r="R34" s="4">
        <f t="shared" si="10"/>
        <v>0.27650833301083971</v>
      </c>
      <c r="S34" s="4">
        <f t="shared" si="2"/>
        <v>5.4977067350283422E-4</v>
      </c>
      <c r="T34" s="4">
        <f t="shared" si="12"/>
        <v>1.090719117433301E-2</v>
      </c>
      <c r="U34" s="4">
        <f t="shared" si="13"/>
        <v>0.27067771349743197</v>
      </c>
      <c r="V34" s="4">
        <f t="shared" si="14"/>
        <v>11.265864723943949</v>
      </c>
      <c r="X34" s="2">
        <v>49</v>
      </c>
      <c r="Y34" s="2">
        <f t="shared" si="1"/>
        <v>2000</v>
      </c>
      <c r="Z34" s="2">
        <v>39.857690763433524</v>
      </c>
      <c r="AA34" s="21">
        <f t="shared" si="0"/>
        <v>1.9928845381716763E-2</v>
      </c>
    </row>
    <row r="35" spans="5:27" x14ac:dyDescent="0.35">
      <c r="E35" s="16">
        <v>20</v>
      </c>
      <c r="F35" s="17">
        <v>976323</v>
      </c>
      <c r="G35" s="17">
        <f t="shared" si="3"/>
        <v>645</v>
      </c>
      <c r="H35" s="18">
        <f t="shared" si="4"/>
        <v>6.6064202113439916E-4</v>
      </c>
      <c r="I35" s="18">
        <f t="shared" si="5"/>
        <v>0.99933935797886564</v>
      </c>
      <c r="K35" s="4">
        <v>20</v>
      </c>
      <c r="L35" s="4">
        <f t="shared" si="6"/>
        <v>2.1005746796101082E-3</v>
      </c>
      <c r="M35" s="4">
        <f t="shared" si="7"/>
        <v>0.99789942532038989</v>
      </c>
      <c r="N35" s="4">
        <f t="shared" si="15"/>
        <v>0.97685712327351693</v>
      </c>
      <c r="O35" s="5">
        <f t="shared" si="11"/>
        <v>7.0000000000000007E-2</v>
      </c>
      <c r="P35" s="4">
        <f t="shared" si="8"/>
        <v>0.93457943925233644</v>
      </c>
      <c r="Q35" s="4">
        <f t="shared" si="9"/>
        <v>1.0346053546590026</v>
      </c>
      <c r="R35" s="4">
        <f t="shared" si="10"/>
        <v>0.25841900281386893</v>
      </c>
      <c r="S35" s="4">
        <f t="shared" si="2"/>
        <v>5.8180036866715512E-4</v>
      </c>
      <c r="T35" s="4">
        <f t="shared" si="12"/>
        <v>1.1488991543000164E-2</v>
      </c>
      <c r="U35" s="4">
        <f t="shared" si="13"/>
        <v>0.25243844368796686</v>
      </c>
      <c r="V35" s="4">
        <f t="shared" si="14"/>
        <v>11.518303167631915</v>
      </c>
      <c r="X35" s="2">
        <v>50</v>
      </c>
      <c r="Y35" s="2">
        <f t="shared" si="1"/>
        <v>2000</v>
      </c>
      <c r="Z35" s="2">
        <v>42.39874140074734</v>
      </c>
      <c r="AA35" s="21">
        <f t="shared" si="0"/>
        <v>2.1199370700373671E-2</v>
      </c>
    </row>
    <row r="36" spans="5:27" x14ac:dyDescent="0.35">
      <c r="E36" s="16">
        <v>21</v>
      </c>
      <c r="F36" s="17">
        <v>975678</v>
      </c>
      <c r="G36" s="17">
        <f t="shared" si="3"/>
        <v>666</v>
      </c>
      <c r="H36" s="18">
        <f t="shared" si="4"/>
        <v>6.826022519724745E-4</v>
      </c>
      <c r="I36" s="18">
        <f t="shared" si="5"/>
        <v>0.99931739774802752</v>
      </c>
      <c r="K36" s="4">
        <v>21</v>
      </c>
      <c r="L36" s="4">
        <f t="shared" si="6"/>
        <v>2.3835680421753305E-3</v>
      </c>
      <c r="M36" s="4">
        <f t="shared" si="7"/>
        <v>0.99761643195782468</v>
      </c>
      <c r="N36" s="4">
        <f t="shared" si="15"/>
        <v>0.97452871785271089</v>
      </c>
      <c r="O36" s="5">
        <f t="shared" si="11"/>
        <v>7.0000000000000007E-2</v>
      </c>
      <c r="P36" s="4">
        <f t="shared" si="8"/>
        <v>0.93457943925233644</v>
      </c>
      <c r="Q36" s="4">
        <f t="shared" si="9"/>
        <v>1.0346053546590026</v>
      </c>
      <c r="R36" s="4">
        <f t="shared" si="10"/>
        <v>0.24151308674193356</v>
      </c>
      <c r="S36" s="4">
        <f t="shared" si="2"/>
        <v>5.4971118715533228E-4</v>
      </c>
      <c r="T36" s="4">
        <f t="shared" si="12"/>
        <v>1.2038702730155497E-2</v>
      </c>
      <c r="U36" s="4">
        <f t="shared" si="13"/>
        <v>0.23536143876726706</v>
      </c>
      <c r="V36" s="4">
        <f t="shared" si="14"/>
        <v>11.753664606399182</v>
      </c>
      <c r="X36" s="2">
        <v>51</v>
      </c>
      <c r="Y36" s="2">
        <f t="shared" si="1"/>
        <v>2000</v>
      </c>
      <c r="Z36" s="2">
        <v>44.79685734899946</v>
      </c>
      <c r="AA36" s="21">
        <f t="shared" si="0"/>
        <v>2.2398428674499728E-2</v>
      </c>
    </row>
    <row r="37" spans="5:27" x14ac:dyDescent="0.35">
      <c r="E37" s="16">
        <v>22</v>
      </c>
      <c r="F37" s="17">
        <v>975012</v>
      </c>
      <c r="G37" s="17">
        <f t="shared" si="3"/>
        <v>721</v>
      </c>
      <c r="H37" s="18">
        <f t="shared" si="4"/>
        <v>7.3947807821852444E-4</v>
      </c>
      <c r="I37" s="18">
        <f t="shared" si="5"/>
        <v>0.9992605219217815</v>
      </c>
      <c r="K37" s="4">
        <v>22</v>
      </c>
      <c r="L37" s="4">
        <f t="shared" si="6"/>
        <v>2.4155071147759543E-3</v>
      </c>
      <c r="M37" s="4">
        <f t="shared" si="7"/>
        <v>0.99758449288522399</v>
      </c>
      <c r="N37" s="4">
        <f t="shared" si="15"/>
        <v>0.97217473680118416</v>
      </c>
      <c r="O37" s="5">
        <f t="shared" si="11"/>
        <v>7.0000000000000007E-2</v>
      </c>
      <c r="P37" s="4">
        <f t="shared" si="8"/>
        <v>0.93457943925233644</v>
      </c>
      <c r="Q37" s="4">
        <f t="shared" si="9"/>
        <v>1.0346053546590026</v>
      </c>
      <c r="R37" s="4">
        <f t="shared" si="10"/>
        <v>0.22571316517937715</v>
      </c>
      <c r="S37" s="4">
        <f t="shared" si="2"/>
        <v>5.6867367446280235E-4</v>
      </c>
      <c r="T37" s="4">
        <f t="shared" si="12"/>
        <v>1.2607376404618299E-2</v>
      </c>
      <c r="U37" s="4">
        <f t="shared" si="13"/>
        <v>0.21943263695082318</v>
      </c>
      <c r="V37" s="4">
        <f t="shared" si="14"/>
        <v>11.973097243350006</v>
      </c>
      <c r="X37" s="2">
        <v>52</v>
      </c>
      <c r="Y37" s="2">
        <f t="shared" si="1"/>
        <v>2000</v>
      </c>
      <c r="Z37" s="2">
        <v>46.543337312268264</v>
      </c>
      <c r="AA37" s="21">
        <f t="shared" si="0"/>
        <v>2.3271668656134132E-2</v>
      </c>
    </row>
    <row r="38" spans="5:27" x14ac:dyDescent="0.35">
      <c r="E38" s="16">
        <v>23</v>
      </c>
      <c r="F38" s="17">
        <v>974291</v>
      </c>
      <c r="G38" s="17">
        <f t="shared" si="3"/>
        <v>757</v>
      </c>
      <c r="H38" s="18">
        <f t="shared" si="4"/>
        <v>7.7697525687910485E-4</v>
      </c>
      <c r="I38" s="18">
        <f t="shared" si="5"/>
        <v>0.99922302474312086</v>
      </c>
      <c r="K38" s="4">
        <v>23</v>
      </c>
      <c r="L38" s="4">
        <f t="shared" si="6"/>
        <v>2.6802231730390807E-3</v>
      </c>
      <c r="M38" s="4">
        <f t="shared" si="7"/>
        <v>0.99731977682696094</v>
      </c>
      <c r="N38" s="4">
        <f t="shared" si="15"/>
        <v>0.96956909154336646</v>
      </c>
      <c r="O38" s="5">
        <f t="shared" si="11"/>
        <v>7.0000000000000007E-2</v>
      </c>
      <c r="P38" s="4">
        <f t="shared" si="8"/>
        <v>0.93457943925233644</v>
      </c>
      <c r="Q38" s="4">
        <f t="shared" si="9"/>
        <v>1.0346053546590026</v>
      </c>
      <c r="R38" s="4">
        <f t="shared" si="10"/>
        <v>0.21094688334521228</v>
      </c>
      <c r="S38" s="4"/>
      <c r="T38" s="4">
        <f t="shared" si="12"/>
        <v>1.2607376404618299E-2</v>
      </c>
      <c r="U38" s="4">
        <f t="shared" si="13"/>
        <v>0.20452757804892197</v>
      </c>
      <c r="V38" s="4">
        <f t="shared" si="14"/>
        <v>12.177624821398927</v>
      </c>
      <c r="X38" s="2">
        <v>53</v>
      </c>
      <c r="Y38" s="2">
        <f t="shared" si="1"/>
        <v>2000</v>
      </c>
      <c r="Z38" s="2">
        <v>49.703182931389328</v>
      </c>
      <c r="AA38" s="21">
        <f t="shared" si="0"/>
        <v>2.4851591465694663E-2</v>
      </c>
    </row>
    <row r="39" spans="5:27" x14ac:dyDescent="0.35">
      <c r="E39" s="16">
        <v>24</v>
      </c>
      <c r="F39" s="17">
        <v>973534</v>
      </c>
      <c r="G39" s="17">
        <f t="shared" si="3"/>
        <v>841</v>
      </c>
      <c r="H39" s="18">
        <f t="shared" si="4"/>
        <v>8.6386299810792429E-4</v>
      </c>
      <c r="I39" s="18">
        <f t="shared" si="5"/>
        <v>0.99913613700189208</v>
      </c>
      <c r="X39" s="2">
        <v>54</v>
      </c>
      <c r="Y39" s="2">
        <f t="shared" si="1"/>
        <v>2000</v>
      </c>
      <c r="Z39" s="2">
        <v>53.34164350059757</v>
      </c>
      <c r="AA39" s="21">
        <f t="shared" si="0"/>
        <v>2.6670821750298786E-2</v>
      </c>
    </row>
    <row r="40" spans="5:27" x14ac:dyDescent="0.35">
      <c r="E40" s="16">
        <v>25</v>
      </c>
      <c r="F40" s="17">
        <v>972693</v>
      </c>
      <c r="G40" s="17">
        <f t="shared" si="3"/>
        <v>856</v>
      </c>
      <c r="H40" s="18">
        <f t="shared" si="4"/>
        <v>8.8003100669995567E-4</v>
      </c>
      <c r="I40" s="18">
        <f t="shared" si="5"/>
        <v>0.99911996899330002</v>
      </c>
      <c r="X40" s="2">
        <v>55</v>
      </c>
      <c r="Y40" s="2">
        <f t="shared" si="1"/>
        <v>2000</v>
      </c>
      <c r="Z40" s="2">
        <v>57.095530424798255</v>
      </c>
      <c r="AA40" s="21">
        <f t="shared" si="0"/>
        <v>2.8547765212399129E-2</v>
      </c>
    </row>
    <row r="41" spans="5:27" x14ac:dyDescent="0.35">
      <c r="E41" s="16">
        <v>26</v>
      </c>
      <c r="F41" s="17">
        <v>971837</v>
      </c>
      <c r="G41" s="17">
        <f t="shared" si="3"/>
        <v>934</v>
      </c>
      <c r="H41" s="18">
        <f t="shared" si="4"/>
        <v>9.6106651629851512E-4</v>
      </c>
      <c r="I41" s="18">
        <f t="shared" si="5"/>
        <v>0.99903893348370143</v>
      </c>
      <c r="X41" s="2">
        <v>56</v>
      </c>
      <c r="Y41" s="2">
        <f t="shared" si="1"/>
        <v>2000</v>
      </c>
      <c r="Z41" s="2">
        <v>59.040356583013036</v>
      </c>
      <c r="AA41" s="21">
        <f t="shared" si="0"/>
        <v>2.9520178291506518E-2</v>
      </c>
    </row>
    <row r="42" spans="5:27" x14ac:dyDescent="0.35">
      <c r="E42" s="16">
        <v>27</v>
      </c>
      <c r="F42" s="17">
        <v>970903</v>
      </c>
      <c r="G42" s="17">
        <f t="shared" si="3"/>
        <v>979</v>
      </c>
      <c r="H42" s="18">
        <f t="shared" si="4"/>
        <v>1.0083396590596589E-3</v>
      </c>
      <c r="I42" s="18">
        <f t="shared" si="5"/>
        <v>0.99899166034094034</v>
      </c>
      <c r="X42" s="2">
        <v>57</v>
      </c>
      <c r="Y42" s="2">
        <f t="shared" si="1"/>
        <v>2000</v>
      </c>
      <c r="Z42" s="2">
        <v>62.632757321455429</v>
      </c>
      <c r="AA42" s="21">
        <f t="shared" si="0"/>
        <v>3.1316378660727714E-2</v>
      </c>
    </row>
    <row r="43" spans="5:27" x14ac:dyDescent="0.35">
      <c r="E43" s="16">
        <v>28</v>
      </c>
      <c r="F43" s="17">
        <v>969924</v>
      </c>
      <c r="G43" s="17">
        <f t="shared" si="3"/>
        <v>1063</v>
      </c>
      <c r="H43" s="18">
        <f t="shared" si="4"/>
        <v>1.095962157859791E-3</v>
      </c>
      <c r="I43" s="18">
        <f t="shared" si="5"/>
        <v>0.99890403784214021</v>
      </c>
      <c r="X43" s="2">
        <v>58</v>
      </c>
      <c r="Y43" s="2">
        <f t="shared" si="1"/>
        <v>2000</v>
      </c>
      <c r="Z43" s="2">
        <v>66.412256914609799</v>
      </c>
      <c r="AA43" s="21">
        <f t="shared" si="0"/>
        <v>3.3206128457304897E-2</v>
      </c>
    </row>
    <row r="44" spans="5:27" x14ac:dyDescent="0.35">
      <c r="E44" s="16">
        <v>29</v>
      </c>
      <c r="F44" s="17">
        <v>968861</v>
      </c>
      <c r="G44" s="17">
        <f t="shared" si="3"/>
        <v>1131</v>
      </c>
      <c r="H44" s="18">
        <f t="shared" si="4"/>
        <v>1.1673501152384088E-3</v>
      </c>
      <c r="I44" s="18">
        <f t="shared" si="5"/>
        <v>0.99883264988476161</v>
      </c>
      <c r="X44" s="2">
        <v>59</v>
      </c>
      <c r="Y44" s="2">
        <f t="shared" si="1"/>
        <v>2000</v>
      </c>
      <c r="Z44" s="2">
        <v>71.949633544171746</v>
      </c>
      <c r="AA44" s="21">
        <f t="shared" si="0"/>
        <v>3.5974816772085874E-2</v>
      </c>
    </row>
    <row r="45" spans="5:27" x14ac:dyDescent="0.35">
      <c r="E45" s="16">
        <v>30</v>
      </c>
      <c r="F45" s="17">
        <v>967730</v>
      </c>
      <c r="G45" s="17">
        <f t="shared" si="3"/>
        <v>1234</v>
      </c>
      <c r="H45" s="18">
        <f t="shared" si="4"/>
        <v>1.2751490601717421E-3</v>
      </c>
      <c r="I45" s="18">
        <f t="shared" si="5"/>
        <v>0.99872485093982821</v>
      </c>
      <c r="X45" s="2">
        <v>60</v>
      </c>
      <c r="Y45" s="2">
        <f t="shared" si="1"/>
        <v>2000</v>
      </c>
      <c r="Z45" s="2">
        <v>76.069443791567068</v>
      </c>
      <c r="AA45" s="21">
        <f t="shared" si="0"/>
        <v>3.8034721895783531E-2</v>
      </c>
    </row>
    <row r="46" spans="5:27" x14ac:dyDescent="0.35">
      <c r="E46" s="16">
        <v>31</v>
      </c>
      <c r="F46" s="17">
        <v>966496</v>
      </c>
      <c r="G46" s="17">
        <f t="shared" si="3"/>
        <v>1271</v>
      </c>
      <c r="H46" s="18">
        <f t="shared" si="4"/>
        <v>1.3150597622752706E-3</v>
      </c>
      <c r="I46" s="18">
        <f t="shared" si="5"/>
        <v>0.99868494023772469</v>
      </c>
      <c r="X46" s="2">
        <v>61</v>
      </c>
      <c r="Y46" s="2">
        <f t="shared" si="1"/>
        <v>2000</v>
      </c>
      <c r="Z46" s="2">
        <v>79.174672862746178</v>
      </c>
      <c r="AA46" s="21">
        <f t="shared" si="0"/>
        <v>3.9587336431373091E-2</v>
      </c>
    </row>
    <row r="47" spans="5:27" x14ac:dyDescent="0.35">
      <c r="E47" s="16">
        <v>32</v>
      </c>
      <c r="F47" s="17">
        <v>965225</v>
      </c>
      <c r="G47" s="17">
        <f t="shared" si="3"/>
        <v>1535</v>
      </c>
      <c r="H47" s="18">
        <f t="shared" si="4"/>
        <v>1.5903027791447589E-3</v>
      </c>
      <c r="I47" s="18">
        <f t="shared" si="5"/>
        <v>0.99840969722085526</v>
      </c>
      <c r="X47" s="2">
        <v>62</v>
      </c>
      <c r="Y47" s="2">
        <f t="shared" si="1"/>
        <v>2000</v>
      </c>
      <c r="Z47" s="2">
        <v>86.391165287788326</v>
      </c>
      <c r="AA47" s="21">
        <f t="shared" si="0"/>
        <v>4.3195582643894163E-2</v>
      </c>
    </row>
    <row r="48" spans="5:27" x14ac:dyDescent="0.35">
      <c r="E48" s="16">
        <v>33</v>
      </c>
      <c r="F48" s="17">
        <v>963690</v>
      </c>
      <c r="G48" s="17">
        <f t="shared" si="3"/>
        <v>1579</v>
      </c>
      <c r="H48" s="18">
        <f t="shared" si="4"/>
        <v>1.638493706482375E-3</v>
      </c>
      <c r="I48" s="18">
        <f t="shared" si="5"/>
        <v>0.99836150629351761</v>
      </c>
      <c r="X48" s="2">
        <v>63</v>
      </c>
      <c r="Y48" s="2">
        <f t="shared" si="1"/>
        <v>2000</v>
      </c>
      <c r="Z48" s="2">
        <v>91.409864883511744</v>
      </c>
      <c r="AA48" s="21">
        <f t="shared" si="0"/>
        <v>4.5704932441755872E-2</v>
      </c>
    </row>
    <row r="49" spans="5:27" x14ac:dyDescent="0.35">
      <c r="E49" s="16">
        <v>34</v>
      </c>
      <c r="F49" s="17">
        <v>962111</v>
      </c>
      <c r="G49" s="17">
        <f t="shared" si="3"/>
        <v>1612</v>
      </c>
      <c r="H49" s="18">
        <f t="shared" si="4"/>
        <v>1.6754823507890461E-3</v>
      </c>
      <c r="I49" s="18">
        <f t="shared" si="5"/>
        <v>0.99832451764921093</v>
      </c>
      <c r="X49" s="2">
        <v>64</v>
      </c>
      <c r="Y49" s="2">
        <f t="shared" si="1"/>
        <v>2000</v>
      </c>
      <c r="Z49" s="2">
        <v>100.076378257364</v>
      </c>
      <c r="AA49" s="21">
        <f t="shared" si="0"/>
        <v>5.0038189128681999E-2</v>
      </c>
    </row>
    <row r="50" spans="5:27" x14ac:dyDescent="0.35">
      <c r="E50" s="16">
        <v>35</v>
      </c>
      <c r="F50" s="17">
        <v>960499</v>
      </c>
      <c r="G50" s="17">
        <f t="shared" si="3"/>
        <v>1759</v>
      </c>
      <c r="H50" s="18">
        <f t="shared" si="4"/>
        <v>1.8313397515249885E-3</v>
      </c>
      <c r="I50" s="18">
        <f t="shared" si="5"/>
        <v>0.99816866024847506</v>
      </c>
      <c r="X50" s="2">
        <v>65</v>
      </c>
      <c r="Y50" s="2">
        <f t="shared" si="1"/>
        <v>2000</v>
      </c>
      <c r="Z50" s="2">
        <v>108.64492214587617</v>
      </c>
      <c r="AA50" s="21">
        <f t="shared" si="0"/>
        <v>5.4322461072938082E-2</v>
      </c>
    </row>
    <row r="51" spans="5:27" x14ac:dyDescent="0.35">
      <c r="E51" s="16">
        <v>36</v>
      </c>
      <c r="F51" s="17">
        <v>958740</v>
      </c>
      <c r="G51" s="17">
        <f t="shared" si="3"/>
        <v>1859</v>
      </c>
      <c r="H51" s="18">
        <f t="shared" si="4"/>
        <v>1.939003275131944E-3</v>
      </c>
      <c r="I51" s="18">
        <f t="shared" si="5"/>
        <v>0.99806099672486803</v>
      </c>
    </row>
    <row r="52" spans="5:27" x14ac:dyDescent="0.35">
      <c r="E52" s="16">
        <v>37</v>
      </c>
      <c r="F52" s="17">
        <v>956881</v>
      </c>
      <c r="G52" s="17">
        <f t="shared" si="3"/>
        <v>2010</v>
      </c>
      <c r="H52" s="18">
        <f t="shared" si="4"/>
        <v>2.1005746796101082E-3</v>
      </c>
      <c r="I52" s="18">
        <f t="shared" si="5"/>
        <v>0.99789942532038989</v>
      </c>
    </row>
    <row r="53" spans="5:27" x14ac:dyDescent="0.35">
      <c r="E53" s="16">
        <v>38</v>
      </c>
      <c r="F53" s="17">
        <v>954871</v>
      </c>
      <c r="G53" s="17">
        <f t="shared" si="3"/>
        <v>2276</v>
      </c>
      <c r="H53" s="18">
        <f t="shared" si="4"/>
        <v>2.3835680421753305E-3</v>
      </c>
      <c r="I53" s="18">
        <f t="shared" si="5"/>
        <v>0.99761643195782468</v>
      </c>
    </row>
    <row r="54" spans="5:27" x14ac:dyDescent="0.35">
      <c r="E54" s="16">
        <v>39</v>
      </c>
      <c r="F54" s="17">
        <v>952595</v>
      </c>
      <c r="G54" s="17">
        <f t="shared" si="3"/>
        <v>2301</v>
      </c>
      <c r="H54" s="18">
        <f t="shared" si="4"/>
        <v>2.4155071147759543E-3</v>
      </c>
      <c r="I54" s="18">
        <f t="shared" si="5"/>
        <v>0.99758449288522399</v>
      </c>
    </row>
    <row r="55" spans="5:27" x14ac:dyDescent="0.35">
      <c r="E55" s="16">
        <v>40</v>
      </c>
      <c r="F55" s="17">
        <v>950294</v>
      </c>
      <c r="G55" s="17">
        <f t="shared" si="3"/>
        <v>2547</v>
      </c>
      <c r="H55" s="18">
        <f t="shared" si="4"/>
        <v>2.6802231730390807E-3</v>
      </c>
      <c r="I55" s="18">
        <f t="shared" si="5"/>
        <v>0.99731977682696094</v>
      </c>
    </row>
    <row r="56" spans="5:27" x14ac:dyDescent="0.35">
      <c r="E56" s="16">
        <v>41</v>
      </c>
      <c r="F56" s="17">
        <v>947747</v>
      </c>
      <c r="G56" s="17">
        <f t="shared" si="3"/>
        <v>2797</v>
      </c>
      <c r="H56" s="18">
        <f t="shared" si="4"/>
        <v>2.9512095527603885E-3</v>
      </c>
      <c r="I56" s="18">
        <f t="shared" si="5"/>
        <v>0.9970487904472396</v>
      </c>
    </row>
    <row r="57" spans="5:27" x14ac:dyDescent="0.35">
      <c r="E57" s="16">
        <v>42</v>
      </c>
      <c r="F57" s="17">
        <v>944950</v>
      </c>
      <c r="G57" s="17">
        <f t="shared" si="3"/>
        <v>3016</v>
      </c>
      <c r="H57" s="18">
        <f t="shared" si="4"/>
        <v>3.1917032647230011E-3</v>
      </c>
      <c r="I57" s="18">
        <f t="shared" si="5"/>
        <v>0.99680829673527704</v>
      </c>
    </row>
    <row r="58" spans="5:27" x14ac:dyDescent="0.35">
      <c r="E58" s="16">
        <v>43</v>
      </c>
      <c r="F58" s="17">
        <v>941934</v>
      </c>
      <c r="G58" s="17">
        <f t="shared" si="3"/>
        <v>3318</v>
      </c>
      <c r="H58" s="18">
        <f t="shared" si="4"/>
        <v>3.52253979578187E-3</v>
      </c>
      <c r="I58" s="18">
        <f t="shared" si="5"/>
        <v>0.99647746020421812</v>
      </c>
    </row>
    <row r="59" spans="5:27" x14ac:dyDescent="0.35">
      <c r="E59" s="16">
        <v>44</v>
      </c>
      <c r="F59" s="17">
        <v>938616</v>
      </c>
      <c r="G59" s="17">
        <f t="shared" si="3"/>
        <v>3561</v>
      </c>
      <c r="H59" s="18">
        <f t="shared" si="4"/>
        <v>3.7938837607711779E-3</v>
      </c>
      <c r="I59" s="18">
        <f t="shared" si="5"/>
        <v>0.99620611623922883</v>
      </c>
    </row>
    <row r="60" spans="5:27" x14ac:dyDescent="0.35">
      <c r="E60" s="16">
        <v>45</v>
      </c>
      <c r="F60" s="17">
        <v>935055</v>
      </c>
      <c r="G60" s="17">
        <f t="shared" si="3"/>
        <v>3986</v>
      </c>
      <c r="H60" s="18">
        <f t="shared" si="4"/>
        <v>4.2628508483458193E-3</v>
      </c>
      <c r="I60" s="18">
        <f t="shared" si="5"/>
        <v>0.99573714915165423</v>
      </c>
    </row>
    <row r="61" spans="5:27" x14ac:dyDescent="0.35">
      <c r="E61" s="16">
        <v>46</v>
      </c>
      <c r="F61" s="17">
        <v>931069</v>
      </c>
      <c r="G61" s="17">
        <f t="shared" si="3"/>
        <v>4296</v>
      </c>
      <c r="H61" s="18">
        <f t="shared" si="4"/>
        <v>4.6140511605477141E-3</v>
      </c>
      <c r="I61" s="18">
        <f t="shared" si="5"/>
        <v>0.99538594883945231</v>
      </c>
    </row>
    <row r="62" spans="5:27" x14ac:dyDescent="0.35">
      <c r="E62" s="16">
        <v>47</v>
      </c>
      <c r="F62" s="17">
        <v>926773</v>
      </c>
      <c r="G62" s="17">
        <f t="shared" si="3"/>
        <v>4863</v>
      </c>
      <c r="H62" s="18">
        <f t="shared" si="4"/>
        <v>5.2472396153103295E-3</v>
      </c>
      <c r="I62" s="18">
        <f t="shared" si="5"/>
        <v>0.99475276038468963</v>
      </c>
    </row>
    <row r="63" spans="5:27" x14ac:dyDescent="0.35">
      <c r="E63" s="16">
        <v>48</v>
      </c>
      <c r="F63" s="17">
        <v>921910</v>
      </c>
      <c r="G63" s="17">
        <f t="shared" si="3"/>
        <v>5371</v>
      </c>
      <c r="H63" s="18">
        <f t="shared" si="4"/>
        <v>5.8259483029796831E-3</v>
      </c>
      <c r="I63" s="18">
        <f t="shared" si="5"/>
        <v>0.99417405169702033</v>
      </c>
    </row>
    <row r="64" spans="5:27" x14ac:dyDescent="0.35">
      <c r="E64" s="16">
        <v>49</v>
      </c>
      <c r="F64" s="17">
        <v>916539</v>
      </c>
      <c r="G64" s="17">
        <f t="shared" si="3"/>
        <v>5881</v>
      </c>
      <c r="H64" s="18">
        <f t="shared" si="4"/>
        <v>6.4165300112706608E-3</v>
      </c>
      <c r="I64" s="18">
        <f t="shared" si="5"/>
        <v>0.99358346998872937</v>
      </c>
    </row>
    <row r="65" spans="5:9" x14ac:dyDescent="0.35">
      <c r="E65" s="16">
        <v>50</v>
      </c>
      <c r="F65" s="17">
        <v>910658</v>
      </c>
      <c r="G65" s="17">
        <f t="shared" si="3"/>
        <v>6653</v>
      </c>
      <c r="H65" s="18">
        <f t="shared" si="4"/>
        <v>7.3057064232675715E-3</v>
      </c>
      <c r="I65" s="18">
        <f t="shared" si="5"/>
        <v>0.99269429357673244</v>
      </c>
    </row>
    <row r="66" spans="5:9" x14ac:dyDescent="0.35">
      <c r="E66" s="16">
        <v>51</v>
      </c>
      <c r="F66" s="17">
        <v>904005</v>
      </c>
      <c r="G66" s="17">
        <f t="shared" si="3"/>
        <v>7363</v>
      </c>
      <c r="H66" s="18">
        <f t="shared" si="4"/>
        <v>8.144866455384649E-3</v>
      </c>
      <c r="I66" s="18">
        <f t="shared" si="5"/>
        <v>0.9918551335446153</v>
      </c>
    </row>
    <row r="67" spans="5:9" x14ac:dyDescent="0.35">
      <c r="E67" s="16">
        <v>52</v>
      </c>
      <c r="F67" s="17">
        <v>896642</v>
      </c>
      <c r="G67" s="17">
        <f t="shared" si="3"/>
        <v>7851</v>
      </c>
      <c r="H67" s="18">
        <f t="shared" si="4"/>
        <v>8.7560029532410925E-3</v>
      </c>
      <c r="I67" s="18">
        <f t="shared" si="5"/>
        <v>0.99124399704675892</v>
      </c>
    </row>
    <row r="68" spans="5:9" x14ac:dyDescent="0.35">
      <c r="E68" s="16">
        <v>53</v>
      </c>
      <c r="F68" s="17">
        <v>888791</v>
      </c>
      <c r="G68" s="17">
        <f t="shared" si="3"/>
        <v>8765</v>
      </c>
      <c r="H68" s="18">
        <f t="shared" si="4"/>
        <v>9.8617110209261796E-3</v>
      </c>
      <c r="I68" s="18">
        <f t="shared" si="5"/>
        <v>0.99013828897907386</v>
      </c>
    </row>
    <row r="69" spans="5:9" x14ac:dyDescent="0.35">
      <c r="E69" s="16">
        <v>54</v>
      </c>
      <c r="F69" s="17">
        <v>880026</v>
      </c>
      <c r="G69" s="17">
        <f t="shared" si="3"/>
        <v>9799</v>
      </c>
      <c r="H69" s="18">
        <f t="shared" si="4"/>
        <v>1.1134898287096063E-2</v>
      </c>
      <c r="I69" s="18">
        <f t="shared" si="5"/>
        <v>0.98886510171290398</v>
      </c>
    </row>
    <row r="70" spans="5:9" x14ac:dyDescent="0.35">
      <c r="E70" s="16">
        <v>55</v>
      </c>
      <c r="F70" s="17">
        <v>870227</v>
      </c>
      <c r="G70" s="17">
        <f t="shared" si="3"/>
        <v>10833</v>
      </c>
      <c r="H70" s="18">
        <f t="shared" si="4"/>
        <v>1.244847608727378E-2</v>
      </c>
      <c r="I70" s="18">
        <f t="shared" si="5"/>
        <v>0.98755152391272627</v>
      </c>
    </row>
    <row r="71" spans="5:9" x14ac:dyDescent="0.35">
      <c r="E71" s="16">
        <v>56</v>
      </c>
      <c r="F71" s="17">
        <v>859394</v>
      </c>
      <c r="G71" s="17">
        <f t="shared" si="3"/>
        <v>11283</v>
      </c>
      <c r="H71" s="18">
        <f t="shared" si="4"/>
        <v>1.3129018820238448E-2</v>
      </c>
      <c r="I71" s="18">
        <f t="shared" si="5"/>
        <v>0.98687098117976157</v>
      </c>
    </row>
    <row r="72" spans="5:9" x14ac:dyDescent="0.35">
      <c r="E72" s="16">
        <v>57</v>
      </c>
      <c r="F72" s="17">
        <v>848111</v>
      </c>
      <c r="G72" s="17">
        <f t="shared" si="3"/>
        <v>12201</v>
      </c>
      <c r="H72" s="18">
        <f t="shared" si="4"/>
        <v>1.4386088613400841E-2</v>
      </c>
      <c r="I72" s="18">
        <f t="shared" si="5"/>
        <v>0.98561391138659915</v>
      </c>
    </row>
    <row r="73" spans="5:9" x14ac:dyDescent="0.35">
      <c r="E73" s="16">
        <v>58</v>
      </c>
      <c r="F73" s="17">
        <v>835910</v>
      </c>
      <c r="G73" s="17">
        <f t="shared" si="3"/>
        <v>13131</v>
      </c>
      <c r="H73" s="18">
        <f t="shared" si="4"/>
        <v>1.5708628919381275E-2</v>
      </c>
      <c r="I73" s="18">
        <f t="shared" si="5"/>
        <v>0.9842913710806187</v>
      </c>
    </row>
    <row r="74" spans="5:9" x14ac:dyDescent="0.35">
      <c r="E74" s="16">
        <v>59</v>
      </c>
      <c r="F74" s="17">
        <v>822779</v>
      </c>
      <c r="G74" s="17">
        <f t="shared" si="3"/>
        <v>14519</v>
      </c>
      <c r="H74" s="18">
        <f t="shared" si="4"/>
        <v>1.7646293840751892E-2</v>
      </c>
      <c r="I74" s="18">
        <f t="shared" si="5"/>
        <v>0.98235370615924811</v>
      </c>
    </row>
    <row r="75" spans="5:9" x14ac:dyDescent="0.35">
      <c r="E75" s="16">
        <v>60</v>
      </c>
      <c r="F75" s="17">
        <v>808260</v>
      </c>
      <c r="G75" s="17">
        <f t="shared" si="3"/>
        <v>15428</v>
      </c>
      <c r="H75" s="18">
        <f t="shared" si="4"/>
        <v>1.9087917254348847E-2</v>
      </c>
      <c r="I75" s="18">
        <f t="shared" si="5"/>
        <v>0.98091208274565111</v>
      </c>
    </row>
    <row r="76" spans="5:9" x14ac:dyDescent="0.35">
      <c r="E76" s="16">
        <v>61</v>
      </c>
      <c r="F76" s="17">
        <v>792832</v>
      </c>
      <c r="G76" s="17">
        <f t="shared" si="3"/>
        <v>15995</v>
      </c>
      <c r="H76" s="18">
        <f t="shared" si="4"/>
        <v>2.017451364223442E-2</v>
      </c>
      <c r="I76" s="18">
        <f t="shared" si="5"/>
        <v>0.97982548635776556</v>
      </c>
    </row>
    <row r="77" spans="5:9" x14ac:dyDescent="0.35">
      <c r="E77" s="16">
        <v>62</v>
      </c>
      <c r="F77" s="17">
        <v>776837</v>
      </c>
      <c r="G77" s="17">
        <f t="shared" si="3"/>
        <v>17634</v>
      </c>
      <c r="H77" s="18">
        <f t="shared" si="4"/>
        <v>2.2699742674460666E-2</v>
      </c>
      <c r="I77" s="18">
        <f t="shared" si="5"/>
        <v>0.97730025732553938</v>
      </c>
    </row>
    <row r="78" spans="5:9" x14ac:dyDescent="0.35">
      <c r="E78" s="16">
        <v>63</v>
      </c>
      <c r="F78" s="17">
        <v>759203</v>
      </c>
      <c r="G78" s="17">
        <f t="shared" si="3"/>
        <v>18567</v>
      </c>
      <c r="H78" s="18">
        <f t="shared" si="4"/>
        <v>2.4455909684234653E-2</v>
      </c>
      <c r="I78" s="18">
        <f t="shared" si="5"/>
        <v>0.97554409031576539</v>
      </c>
    </row>
    <row r="79" spans="5:9" x14ac:dyDescent="0.35">
      <c r="E79" s="16">
        <v>64</v>
      </c>
      <c r="F79" s="17">
        <v>740636</v>
      </c>
      <c r="G79" s="17">
        <f t="shared" si="3"/>
        <v>20359</v>
      </c>
      <c r="H79" s="18">
        <f t="shared" si="4"/>
        <v>2.7488536879114706E-2</v>
      </c>
      <c r="I79" s="18">
        <f t="shared" si="5"/>
        <v>0.97251146312088532</v>
      </c>
    </row>
    <row r="80" spans="5:9" x14ac:dyDescent="0.35">
      <c r="E80" s="16">
        <v>65</v>
      </c>
      <c r="F80" s="17">
        <v>720277</v>
      </c>
      <c r="G80" s="17">
        <f t="shared" ref="G80:G120" si="16">F80-F81</f>
        <v>21959</v>
      </c>
      <c r="H80" s="18">
        <f t="shared" ref="H80:H120" si="17">G80/F80</f>
        <v>3.0486882130069403E-2</v>
      </c>
      <c r="I80" s="18">
        <f t="shared" ref="I80:I120" si="18">1-H80</f>
        <v>0.96951311786993055</v>
      </c>
    </row>
    <row r="81" spans="5:9" x14ac:dyDescent="0.35">
      <c r="E81" s="16">
        <v>66</v>
      </c>
      <c r="F81" s="17">
        <v>698318</v>
      </c>
      <c r="G81" s="17">
        <f t="shared" si="16"/>
        <v>23457</v>
      </c>
      <c r="H81" s="18">
        <f t="shared" si="17"/>
        <v>3.3590713686314833E-2</v>
      </c>
      <c r="I81" s="18">
        <f t="shared" si="18"/>
        <v>0.96640928631368517</v>
      </c>
    </row>
    <row r="82" spans="5:9" x14ac:dyDescent="0.35">
      <c r="E82" s="16">
        <v>67</v>
      </c>
      <c r="F82" s="17">
        <v>674861</v>
      </c>
      <c r="G82" s="17">
        <f t="shared" si="16"/>
        <v>25019</v>
      </c>
      <c r="H82" s="18">
        <f t="shared" si="17"/>
        <v>3.707281943985502E-2</v>
      </c>
      <c r="I82" s="18">
        <f t="shared" si="18"/>
        <v>0.96292718056014492</v>
      </c>
    </row>
    <row r="83" spans="5:9" x14ac:dyDescent="0.35">
      <c r="E83" s="16">
        <v>68</v>
      </c>
      <c r="F83" s="17">
        <v>649842</v>
      </c>
      <c r="G83" s="17">
        <f t="shared" si="16"/>
        <v>26318</v>
      </c>
      <c r="H83" s="18">
        <f t="shared" si="17"/>
        <v>4.0499075159808079E-2</v>
      </c>
      <c r="I83" s="18">
        <f t="shared" si="18"/>
        <v>0.95950092484019189</v>
      </c>
    </row>
    <row r="84" spans="5:9" x14ac:dyDescent="0.35">
      <c r="E84" s="16">
        <v>69</v>
      </c>
      <c r="F84" s="17">
        <v>623524</v>
      </c>
      <c r="G84" s="17">
        <f t="shared" si="16"/>
        <v>28417</v>
      </c>
      <c r="H84" s="18">
        <f t="shared" si="17"/>
        <v>4.5574829517388261E-2</v>
      </c>
      <c r="I84" s="18">
        <f t="shared" si="18"/>
        <v>0.95442517048261177</v>
      </c>
    </row>
    <row r="85" spans="5:9" x14ac:dyDescent="0.35">
      <c r="E85" s="16">
        <v>70</v>
      </c>
      <c r="F85" s="17">
        <v>595107</v>
      </c>
      <c r="G85" s="17">
        <f t="shared" si="16"/>
        <v>29666</v>
      </c>
      <c r="H85" s="18">
        <f t="shared" si="17"/>
        <v>4.9849858932931389E-2</v>
      </c>
      <c r="I85" s="18">
        <f t="shared" si="18"/>
        <v>0.95015014106706863</v>
      </c>
    </row>
    <row r="86" spans="5:9" x14ac:dyDescent="0.35">
      <c r="E86" s="16">
        <v>71</v>
      </c>
      <c r="F86" s="17">
        <v>565441</v>
      </c>
      <c r="G86" s="17">
        <f t="shared" si="16"/>
        <v>31567</v>
      </c>
      <c r="H86" s="18">
        <f t="shared" si="17"/>
        <v>5.5827221584568508E-2</v>
      </c>
      <c r="I86" s="18">
        <f t="shared" si="18"/>
        <v>0.94417277841543146</v>
      </c>
    </row>
    <row r="87" spans="5:9" x14ac:dyDescent="0.35">
      <c r="E87" s="16">
        <v>72</v>
      </c>
      <c r="F87" s="17">
        <v>533874</v>
      </c>
      <c r="G87" s="17">
        <f t="shared" si="16"/>
        <v>32267</v>
      </c>
      <c r="H87" s="18">
        <f t="shared" si="17"/>
        <v>6.043935460426992E-2</v>
      </c>
      <c r="I87" s="18">
        <f t="shared" si="18"/>
        <v>0.93956064539573003</v>
      </c>
    </row>
    <row r="88" spans="5:9" x14ac:dyDescent="0.35">
      <c r="E88" s="16">
        <v>73</v>
      </c>
      <c r="F88" s="17">
        <v>501607</v>
      </c>
      <c r="G88" s="17">
        <f t="shared" si="16"/>
        <v>33200</v>
      </c>
      <c r="H88" s="18">
        <f t="shared" si="17"/>
        <v>6.6187274101039265E-2</v>
      </c>
      <c r="I88" s="18">
        <f t="shared" si="18"/>
        <v>0.93381272589896069</v>
      </c>
    </row>
    <row r="89" spans="5:9" x14ac:dyDescent="0.35">
      <c r="E89" s="16">
        <v>74</v>
      </c>
      <c r="F89" s="17">
        <v>468407</v>
      </c>
      <c r="G89" s="17">
        <f t="shared" si="16"/>
        <v>33449</v>
      </c>
      <c r="H89" s="18">
        <f t="shared" si="17"/>
        <v>7.141011983168484E-2</v>
      </c>
      <c r="I89" s="18">
        <f t="shared" si="18"/>
        <v>0.92858988016831512</v>
      </c>
    </row>
    <row r="90" spans="5:9" x14ac:dyDescent="0.35">
      <c r="E90" s="16">
        <v>75</v>
      </c>
      <c r="F90" s="17">
        <v>434958</v>
      </c>
      <c r="G90" s="17">
        <f t="shared" si="16"/>
        <v>34488</v>
      </c>
      <c r="H90" s="18">
        <f t="shared" si="17"/>
        <v>7.9290414246892801E-2</v>
      </c>
      <c r="I90" s="18">
        <f t="shared" si="18"/>
        <v>0.92070958575310724</v>
      </c>
    </row>
    <row r="91" spans="5:9" x14ac:dyDescent="0.35">
      <c r="E91" s="16">
        <v>76</v>
      </c>
      <c r="F91" s="17">
        <v>400470</v>
      </c>
      <c r="G91" s="17">
        <f t="shared" si="16"/>
        <v>34058</v>
      </c>
      <c r="H91" s="18">
        <f t="shared" si="17"/>
        <v>8.5045072040352582E-2</v>
      </c>
      <c r="I91" s="18">
        <f t="shared" si="18"/>
        <v>0.91495492795964739</v>
      </c>
    </row>
    <row r="92" spans="5:9" x14ac:dyDescent="0.35">
      <c r="E92" s="16">
        <v>77</v>
      </c>
      <c r="F92" s="17">
        <v>366412</v>
      </c>
      <c r="G92" s="17">
        <f t="shared" si="16"/>
        <v>33118</v>
      </c>
      <c r="H92" s="18">
        <f t="shared" si="17"/>
        <v>9.0384594391013401E-2</v>
      </c>
      <c r="I92" s="18">
        <f t="shared" si="18"/>
        <v>0.90961540560898657</v>
      </c>
    </row>
    <row r="93" spans="5:9" x14ac:dyDescent="0.35">
      <c r="E93" s="16">
        <v>78</v>
      </c>
      <c r="F93" s="17">
        <v>333294</v>
      </c>
      <c r="G93" s="17">
        <f t="shared" si="16"/>
        <v>32793</v>
      </c>
      <c r="H93" s="18">
        <f t="shared" si="17"/>
        <v>9.8390610091990849E-2</v>
      </c>
      <c r="I93" s="18">
        <f t="shared" si="18"/>
        <v>0.9016093899080091</v>
      </c>
    </row>
    <row r="94" spans="5:9" x14ac:dyDescent="0.35">
      <c r="E94" s="16">
        <v>79</v>
      </c>
      <c r="F94" s="17">
        <v>300501</v>
      </c>
      <c r="G94" s="17">
        <f t="shared" si="16"/>
        <v>31694</v>
      </c>
      <c r="H94" s="18">
        <f t="shared" si="17"/>
        <v>0.1054705308800969</v>
      </c>
      <c r="I94" s="18">
        <f t="shared" si="18"/>
        <v>0.89452946911990305</v>
      </c>
    </row>
    <row r="95" spans="5:9" x14ac:dyDescent="0.35">
      <c r="E95" s="16">
        <v>80</v>
      </c>
      <c r="F95" s="17">
        <v>268807</v>
      </c>
      <c r="G95" s="17">
        <f t="shared" si="16"/>
        <v>30578</v>
      </c>
      <c r="H95" s="18">
        <f t="shared" si="17"/>
        <v>0.11375447811998944</v>
      </c>
      <c r="I95" s="18">
        <f t="shared" si="18"/>
        <v>0.8862455218800106</v>
      </c>
    </row>
    <row r="96" spans="5:9" x14ac:dyDescent="0.35">
      <c r="E96" s="16">
        <v>81</v>
      </c>
      <c r="F96" s="17">
        <v>238229</v>
      </c>
      <c r="G96" s="17">
        <f t="shared" si="16"/>
        <v>27247</v>
      </c>
      <c r="H96" s="18">
        <f t="shared" si="17"/>
        <v>0.11437314516704515</v>
      </c>
      <c r="I96" s="18">
        <f t="shared" si="18"/>
        <v>0.88562685483295489</v>
      </c>
    </row>
    <row r="97" spans="5:9" x14ac:dyDescent="0.35">
      <c r="E97" s="16">
        <v>82</v>
      </c>
      <c r="F97" s="17">
        <v>210982</v>
      </c>
      <c r="G97" s="17">
        <f t="shared" si="16"/>
        <v>25502</v>
      </c>
      <c r="H97" s="18">
        <f t="shared" si="17"/>
        <v>0.12087287067143168</v>
      </c>
      <c r="I97" s="18">
        <f t="shared" si="18"/>
        <v>0.87912712932856829</v>
      </c>
    </row>
    <row r="98" spans="5:9" x14ac:dyDescent="0.35">
      <c r="E98" s="16">
        <v>83</v>
      </c>
      <c r="F98" s="17">
        <v>185480</v>
      </c>
      <c r="G98" s="17">
        <f t="shared" si="16"/>
        <v>24175</v>
      </c>
      <c r="H98" s="18">
        <f t="shared" si="17"/>
        <v>0.13033750269570843</v>
      </c>
      <c r="I98" s="18">
        <f t="shared" si="18"/>
        <v>0.86966249730429157</v>
      </c>
    </row>
    <row r="99" spans="5:9" x14ac:dyDescent="0.35">
      <c r="E99" s="16">
        <v>84</v>
      </c>
      <c r="F99" s="17">
        <v>161305</v>
      </c>
      <c r="G99" s="17">
        <f t="shared" si="16"/>
        <v>22253</v>
      </c>
      <c r="H99" s="18">
        <f t="shared" si="17"/>
        <v>0.13795604599981401</v>
      </c>
      <c r="I99" s="18">
        <f t="shared" si="18"/>
        <v>0.86204395400018596</v>
      </c>
    </row>
    <row r="100" spans="5:9" x14ac:dyDescent="0.35">
      <c r="E100" s="16">
        <v>85</v>
      </c>
      <c r="F100" s="17">
        <v>139052</v>
      </c>
      <c r="G100" s="17">
        <f t="shared" si="16"/>
        <v>19549</v>
      </c>
      <c r="H100" s="18">
        <f t="shared" si="17"/>
        <v>0.14058769381238673</v>
      </c>
      <c r="I100" s="18">
        <f t="shared" si="18"/>
        <v>0.85941230618761333</v>
      </c>
    </row>
    <row r="101" spans="5:9" x14ac:dyDescent="0.35">
      <c r="E101" s="16">
        <v>86</v>
      </c>
      <c r="F101" s="17">
        <v>119503</v>
      </c>
      <c r="G101" s="17">
        <f t="shared" si="16"/>
        <v>17697</v>
      </c>
      <c r="H101" s="18">
        <f t="shared" si="17"/>
        <v>0.1480883325104809</v>
      </c>
      <c r="I101" s="18">
        <f t="shared" si="18"/>
        <v>0.85191166748951908</v>
      </c>
    </row>
    <row r="102" spans="5:9" x14ac:dyDescent="0.35">
      <c r="E102" s="16">
        <v>87</v>
      </c>
      <c r="F102" s="17">
        <v>101806</v>
      </c>
      <c r="G102" s="17">
        <f t="shared" si="16"/>
        <v>16015</v>
      </c>
      <c r="H102" s="18">
        <f t="shared" si="17"/>
        <v>0.15730899946957941</v>
      </c>
      <c r="I102" s="18">
        <f t="shared" si="18"/>
        <v>0.84269100053042056</v>
      </c>
    </row>
    <row r="103" spans="5:9" x14ac:dyDescent="0.35">
      <c r="E103" s="16">
        <v>88</v>
      </c>
      <c r="F103" s="17">
        <v>85791</v>
      </c>
      <c r="G103" s="17">
        <f t="shared" si="16"/>
        <v>14980</v>
      </c>
      <c r="H103" s="18">
        <f t="shared" si="17"/>
        <v>0.17461039036728795</v>
      </c>
      <c r="I103" s="18">
        <f t="shared" si="18"/>
        <v>0.82538960963271202</v>
      </c>
    </row>
    <row r="104" spans="5:9" x14ac:dyDescent="0.35">
      <c r="E104" s="16">
        <v>89</v>
      </c>
      <c r="F104" s="17">
        <v>70811</v>
      </c>
      <c r="G104" s="17">
        <f t="shared" si="16"/>
        <v>13614</v>
      </c>
      <c r="H104" s="18">
        <f t="shared" si="17"/>
        <v>0.19225826495883408</v>
      </c>
      <c r="I104" s="18">
        <f t="shared" si="18"/>
        <v>0.80774173504116598</v>
      </c>
    </row>
    <row r="105" spans="5:9" x14ac:dyDescent="0.35">
      <c r="E105" s="16">
        <v>90</v>
      </c>
      <c r="F105" s="17">
        <v>57197</v>
      </c>
      <c r="G105" s="17">
        <f t="shared" si="16"/>
        <v>12118</v>
      </c>
      <c r="H105" s="18">
        <f t="shared" si="17"/>
        <v>0.21186425861496233</v>
      </c>
      <c r="I105" s="18">
        <f t="shared" si="18"/>
        <v>0.78813574138503761</v>
      </c>
    </row>
    <row r="106" spans="5:9" x14ac:dyDescent="0.35">
      <c r="E106" s="16">
        <v>91</v>
      </c>
      <c r="F106" s="17">
        <v>45079</v>
      </c>
      <c r="G106" s="17">
        <f t="shared" si="16"/>
        <v>10534</v>
      </c>
      <c r="H106" s="18">
        <f t="shared" si="17"/>
        <v>0.23367865303134497</v>
      </c>
      <c r="I106" s="18">
        <f t="shared" si="18"/>
        <v>0.76632134696865506</v>
      </c>
    </row>
    <row r="107" spans="5:9" x14ac:dyDescent="0.35">
      <c r="E107" s="16">
        <v>92</v>
      </c>
      <c r="F107" s="17">
        <v>34545</v>
      </c>
      <c r="G107" s="17">
        <f t="shared" si="16"/>
        <v>8912</v>
      </c>
      <c r="H107" s="18">
        <f t="shared" si="17"/>
        <v>0.25798234187291941</v>
      </c>
      <c r="I107" s="18">
        <f t="shared" si="18"/>
        <v>0.74201765812708054</v>
      </c>
    </row>
    <row r="108" spans="5:9" x14ac:dyDescent="0.35">
      <c r="E108" s="16">
        <v>93</v>
      </c>
      <c r="F108" s="17">
        <v>25633</v>
      </c>
      <c r="G108" s="17">
        <f t="shared" si="16"/>
        <v>7308</v>
      </c>
      <c r="H108" s="18">
        <f t="shared" si="17"/>
        <v>0.28510123668708304</v>
      </c>
      <c r="I108" s="18">
        <f t="shared" si="18"/>
        <v>0.71489876331291691</v>
      </c>
    </row>
    <row r="109" spans="5:9" x14ac:dyDescent="0.35">
      <c r="E109" s="16">
        <v>94</v>
      </c>
      <c r="F109" s="17">
        <v>18325</v>
      </c>
      <c r="G109" s="17">
        <f t="shared" si="16"/>
        <v>5778</v>
      </c>
      <c r="H109" s="18">
        <f t="shared" si="17"/>
        <v>0.31530695770804912</v>
      </c>
      <c r="I109" s="18">
        <f t="shared" si="18"/>
        <v>0.68469304229195083</v>
      </c>
    </row>
    <row r="110" spans="5:9" x14ac:dyDescent="0.35">
      <c r="E110" s="16">
        <v>95</v>
      </c>
      <c r="F110" s="17">
        <v>12547</v>
      </c>
      <c r="G110" s="17">
        <f t="shared" si="16"/>
        <v>4153</v>
      </c>
      <c r="H110" s="18">
        <f t="shared" si="17"/>
        <v>0.33099545708137401</v>
      </c>
      <c r="I110" s="18">
        <f t="shared" si="18"/>
        <v>0.66900454291862599</v>
      </c>
    </row>
    <row r="111" spans="5:9" x14ac:dyDescent="0.35">
      <c r="E111" s="16">
        <v>96</v>
      </c>
      <c r="F111" s="17">
        <v>8394</v>
      </c>
      <c r="G111" s="17">
        <f t="shared" si="16"/>
        <v>2918</v>
      </c>
      <c r="H111" s="18">
        <f t="shared" si="17"/>
        <v>0.34762925899451991</v>
      </c>
      <c r="I111" s="18">
        <f t="shared" si="18"/>
        <v>0.65237074100548009</v>
      </c>
    </row>
    <row r="112" spans="5:9" x14ac:dyDescent="0.35">
      <c r="E112" s="16">
        <v>97</v>
      </c>
      <c r="F112" s="17">
        <v>5476</v>
      </c>
      <c r="G112" s="17">
        <f t="shared" si="16"/>
        <v>1998</v>
      </c>
      <c r="H112" s="18">
        <f t="shared" si="17"/>
        <v>0.36486486486486486</v>
      </c>
      <c r="I112" s="18">
        <f t="shared" si="18"/>
        <v>0.63513513513513509</v>
      </c>
    </row>
    <row r="113" spans="5:9" x14ac:dyDescent="0.35">
      <c r="E113" s="16">
        <v>98</v>
      </c>
      <c r="F113" s="17">
        <v>3478</v>
      </c>
      <c r="G113" s="17">
        <f t="shared" si="16"/>
        <v>1333</v>
      </c>
      <c r="H113" s="18">
        <f t="shared" si="17"/>
        <v>0.38326624496837264</v>
      </c>
      <c r="I113" s="18">
        <f t="shared" si="18"/>
        <v>0.61673375503162742</v>
      </c>
    </row>
    <row r="114" spans="5:9" x14ac:dyDescent="0.35">
      <c r="E114" s="16">
        <v>99</v>
      </c>
      <c r="F114" s="17">
        <v>2145</v>
      </c>
      <c r="G114" s="17">
        <f t="shared" si="16"/>
        <v>863</v>
      </c>
      <c r="H114" s="18">
        <f t="shared" si="17"/>
        <v>0.40233100233100233</v>
      </c>
      <c r="I114" s="18">
        <f t="shared" si="18"/>
        <v>0.59766899766899773</v>
      </c>
    </row>
    <row r="115" spans="5:9" x14ac:dyDescent="0.35">
      <c r="E115" s="16">
        <v>100</v>
      </c>
      <c r="F115" s="17">
        <v>1282</v>
      </c>
      <c r="G115" s="17">
        <f t="shared" si="16"/>
        <v>542</v>
      </c>
      <c r="H115" s="18">
        <f t="shared" si="17"/>
        <v>0.42277691107644305</v>
      </c>
      <c r="I115" s="18">
        <f t="shared" si="18"/>
        <v>0.577223088923557</v>
      </c>
    </row>
    <row r="116" spans="5:9" x14ac:dyDescent="0.35">
      <c r="E116" s="16">
        <v>101</v>
      </c>
      <c r="F116" s="16">
        <v>740</v>
      </c>
      <c r="G116" s="17">
        <f t="shared" si="16"/>
        <v>328</v>
      </c>
      <c r="H116" s="18">
        <f t="shared" si="17"/>
        <v>0.44324324324324327</v>
      </c>
      <c r="I116" s="18">
        <f t="shared" si="18"/>
        <v>0.55675675675675673</v>
      </c>
    </row>
    <row r="117" spans="5:9" x14ac:dyDescent="0.35">
      <c r="E117" s="16">
        <v>102</v>
      </c>
      <c r="F117" s="16">
        <v>412</v>
      </c>
      <c r="G117" s="17">
        <f t="shared" si="16"/>
        <v>191</v>
      </c>
      <c r="H117" s="18">
        <f t="shared" si="17"/>
        <v>0.46359223300970875</v>
      </c>
      <c r="I117" s="18">
        <f t="shared" si="18"/>
        <v>0.53640776699029125</v>
      </c>
    </row>
    <row r="118" spans="5:9" x14ac:dyDescent="0.35">
      <c r="E118" s="16">
        <v>103</v>
      </c>
      <c r="F118" s="16">
        <v>221</v>
      </c>
      <c r="G118" s="17">
        <f t="shared" si="16"/>
        <v>109</v>
      </c>
      <c r="H118" s="18">
        <f t="shared" si="17"/>
        <v>0.49321266968325794</v>
      </c>
      <c r="I118" s="18">
        <f t="shared" si="18"/>
        <v>0.50678733031674206</v>
      </c>
    </row>
    <row r="119" spans="5:9" x14ac:dyDescent="0.35">
      <c r="E119" s="16">
        <v>104</v>
      </c>
      <c r="F119" s="16">
        <v>112</v>
      </c>
      <c r="G119" s="17">
        <f t="shared" si="16"/>
        <v>58</v>
      </c>
      <c r="H119" s="18">
        <f t="shared" si="17"/>
        <v>0.5178571428571429</v>
      </c>
      <c r="I119" s="18">
        <f t="shared" si="18"/>
        <v>0.4821428571428571</v>
      </c>
    </row>
    <row r="120" spans="5:9" x14ac:dyDescent="0.35">
      <c r="E120" s="16">
        <v>105</v>
      </c>
      <c r="F120" s="16">
        <v>54</v>
      </c>
      <c r="G120" s="17">
        <f t="shared" si="16"/>
        <v>54</v>
      </c>
      <c r="H120" s="18">
        <f t="shared" si="17"/>
        <v>1</v>
      </c>
      <c r="I120" s="18">
        <f t="shared" si="18"/>
        <v>0</v>
      </c>
    </row>
    <row r="165" spans="22:22" x14ac:dyDescent="0.35">
      <c r="V165" s="2" t="e">
        <f>FACT(#REF!)</f>
        <v>#REF!</v>
      </c>
    </row>
  </sheetData>
  <scenarios current="0" show="0">
    <scenario name="Sığorta məbləği yaşa görə" locked="1" count="1" user="Author" comment="Created by Author on 17.09.2018_x000a_Modified by Author on 17.09.2018">
      <inputCells r="C2" val="20"/>
    </scenario>
  </scenarios>
  <dataValidations count="1">
    <dataValidation type="list" allowBlank="1" showInputMessage="1" showErrorMessage="1" sqref="C2" xr:uid="{00000000-0002-0000-0000-000000000000}">
      <formula1>$X$3:$X$50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U60"/>
  <sheetViews>
    <sheetView view="pageBreakPreview" topLeftCell="A4" zoomScale="60" zoomScaleNormal="80" workbookViewId="0">
      <selection activeCell="I65" sqref="I65"/>
    </sheetView>
  </sheetViews>
  <sheetFormatPr defaultRowHeight="14.5" x14ac:dyDescent="0.35"/>
  <cols>
    <col min="2" max="2" width="16.453125" bestFit="1" customWidth="1"/>
    <col min="5" max="5" width="15.54296875" bestFit="1" customWidth="1"/>
    <col min="6" max="6" width="13.7265625" bestFit="1" customWidth="1"/>
    <col min="7" max="7" width="19.54296875" bestFit="1" customWidth="1"/>
    <col min="9" max="9" width="15.54296875" bestFit="1" customWidth="1"/>
    <col min="10" max="11" width="9.54296875" bestFit="1" customWidth="1"/>
    <col min="15" max="15" width="16.7265625" style="50" bestFit="1" customWidth="1"/>
    <col min="17" max="17" width="11.54296875" customWidth="1"/>
    <col min="19" max="19" width="11" customWidth="1"/>
    <col min="20" max="20" width="11.81640625" customWidth="1"/>
    <col min="21" max="21" width="15.26953125" customWidth="1"/>
  </cols>
  <sheetData>
    <row r="3" spans="2:21" x14ac:dyDescent="0.35">
      <c r="E3" s="272" t="s">
        <v>89</v>
      </c>
      <c r="F3" s="272"/>
      <c r="G3" s="272"/>
      <c r="H3" s="272"/>
      <c r="I3" s="272"/>
      <c r="J3" s="272"/>
      <c r="K3" s="272"/>
    </row>
    <row r="4" spans="2:21" x14ac:dyDescent="0.35">
      <c r="E4" s="272"/>
      <c r="F4" s="272"/>
      <c r="G4" s="272"/>
      <c r="H4" s="272"/>
      <c r="I4" s="272"/>
      <c r="J4" s="272"/>
      <c r="K4" s="272"/>
    </row>
    <row r="7" spans="2:21" x14ac:dyDescent="0.35">
      <c r="B7" s="22" t="s">
        <v>38</v>
      </c>
      <c r="C7" s="23">
        <v>2000</v>
      </c>
    </row>
    <row r="8" spans="2:21" x14ac:dyDescent="0.35">
      <c r="B8" s="22" t="s">
        <v>39</v>
      </c>
      <c r="C8" s="23" t="s">
        <v>40</v>
      </c>
    </row>
    <row r="9" spans="2:21" x14ac:dyDescent="0.35">
      <c r="B9" s="22" t="s">
        <v>46</v>
      </c>
      <c r="C9" s="51">
        <v>0</v>
      </c>
    </row>
    <row r="10" spans="2:21" x14ac:dyDescent="0.35">
      <c r="B10" s="22" t="s">
        <v>10</v>
      </c>
      <c r="C10" s="51">
        <v>0</v>
      </c>
    </row>
    <row r="11" spans="2:21" ht="15" thickBot="1" x14ac:dyDescent="0.4">
      <c r="C11" s="50"/>
    </row>
    <row r="12" spans="2:21" ht="63" customHeight="1" thickBot="1" x14ac:dyDescent="0.4">
      <c r="D12" s="29" t="s">
        <v>36</v>
      </c>
      <c r="E12" s="30" t="s">
        <v>20</v>
      </c>
      <c r="F12" s="30" t="s">
        <v>22</v>
      </c>
      <c r="G12" s="31" t="s">
        <v>37</v>
      </c>
      <c r="I12" s="64" t="s">
        <v>54</v>
      </c>
      <c r="O12" s="257" t="s">
        <v>104</v>
      </c>
      <c r="P12" s="258" t="s">
        <v>22</v>
      </c>
      <c r="S12" s="273" t="s">
        <v>110</v>
      </c>
      <c r="T12" s="274"/>
      <c r="U12" s="262" t="s">
        <v>111</v>
      </c>
    </row>
    <row r="13" spans="2:21" ht="15.5" x14ac:dyDescent="0.35">
      <c r="D13" s="24">
        <v>18</v>
      </c>
      <c r="E13" s="2">
        <v>2000</v>
      </c>
      <c r="F13" s="2">
        <v>16.210130793536148</v>
      </c>
      <c r="G13" s="25">
        <f>F13/E13</f>
        <v>8.1050653967680748E-3</v>
      </c>
      <c r="H13" s="250">
        <f>G13*0.8/0.85</f>
        <v>7.6282968440170122E-3</v>
      </c>
      <c r="I13" s="47" t="s">
        <v>41</v>
      </c>
      <c r="J13" s="45">
        <f>AVERAGE(G13:G60)</f>
        <v>1.4465503512695108E-2</v>
      </c>
      <c r="K13" s="32"/>
      <c r="M13" s="65">
        <f>AVERAGE(G13:G20)</f>
        <v>8.2468995811852408E-3</v>
      </c>
      <c r="O13" s="251">
        <f>G13/0.6</f>
        <v>1.3508442327946792E-2</v>
      </c>
      <c r="P13" s="46">
        <f>E13*O13</f>
        <v>27.016884655893584</v>
      </c>
      <c r="Q13" s="263">
        <f>AVERAGE(O13:O20)</f>
        <v>1.3744832635308733E-2</v>
      </c>
      <c r="S13" s="254" t="s">
        <v>70</v>
      </c>
      <c r="T13" s="259">
        <v>9.7975780299048142E-3</v>
      </c>
      <c r="U13" s="266">
        <f>T13*1.25</f>
        <v>1.2246972537381018E-2</v>
      </c>
    </row>
    <row r="14" spans="2:21" ht="15.5" x14ac:dyDescent="0.35">
      <c r="D14" s="24">
        <v>19</v>
      </c>
      <c r="E14" s="2">
        <v>2000</v>
      </c>
      <c r="F14" s="2">
        <v>16.272161849271441</v>
      </c>
      <c r="G14" s="25">
        <f t="shared" ref="G14:G60" si="0">F14/E14</f>
        <v>8.1360809246357208E-3</v>
      </c>
      <c r="H14" s="250">
        <f t="shared" ref="H14:H60" si="1">G14*0.8/0.85</f>
        <v>7.657487929068914E-3</v>
      </c>
      <c r="I14" s="48" t="s">
        <v>42</v>
      </c>
      <c r="J14" s="46">
        <v>2000</v>
      </c>
      <c r="M14" s="65">
        <f>AVERAGE(G21:G30)</f>
        <v>8.8769651450949782E-3</v>
      </c>
      <c r="O14" s="251">
        <f t="shared" ref="O14:O60" si="2">G14/0.6</f>
        <v>1.3560134874392869E-2</v>
      </c>
      <c r="P14" s="46">
        <f t="shared" ref="P14:P60" si="3">E14*O14</f>
        <v>27.120269748785738</v>
      </c>
      <c r="Q14" s="264">
        <f>AVERAGE(O21:O30)</f>
        <v>1.4794941908491632E-2</v>
      </c>
      <c r="S14" s="255" t="s">
        <v>82</v>
      </c>
      <c r="T14" s="260">
        <v>1.0130185170196719E-2</v>
      </c>
      <c r="U14" s="267">
        <f t="shared" ref="U14:U17" si="4">T14*1.25</f>
        <v>1.2662731462745899E-2</v>
      </c>
    </row>
    <row r="15" spans="2:21" ht="16" thickBot="1" x14ac:dyDescent="0.4">
      <c r="D15" s="24">
        <v>20</v>
      </c>
      <c r="E15" s="2">
        <v>2000</v>
      </c>
      <c r="F15" s="2">
        <v>16.364999457729727</v>
      </c>
      <c r="G15" s="25">
        <f t="shared" si="0"/>
        <v>8.1824997288648636E-3</v>
      </c>
      <c r="H15" s="250">
        <f t="shared" si="1"/>
        <v>7.7011762154022253E-3</v>
      </c>
      <c r="I15" s="49" t="s">
        <v>23</v>
      </c>
      <c r="J15" s="38">
        <f>J14*J13</f>
        <v>28.931007025390215</v>
      </c>
      <c r="M15" s="65">
        <f>AVERAGE(G31:G40)</f>
        <v>1.0443531501682275E-2</v>
      </c>
      <c r="O15" s="251">
        <f t="shared" si="2"/>
        <v>1.3637499548108107E-2</v>
      </c>
      <c r="P15" s="46">
        <f t="shared" si="3"/>
        <v>27.274999096216213</v>
      </c>
      <c r="Q15" s="264">
        <f>AVERAGE(O31:O40)</f>
        <v>1.7405885836137124E-2</v>
      </c>
      <c r="S15" s="255" t="s">
        <v>83</v>
      </c>
      <c r="T15" s="260">
        <v>1.1350515703945194E-2</v>
      </c>
      <c r="U15" s="267">
        <f t="shared" si="4"/>
        <v>1.4188144629931492E-2</v>
      </c>
    </row>
    <row r="16" spans="2:21" ht="15.5" x14ac:dyDescent="0.35">
      <c r="D16" s="24">
        <v>21</v>
      </c>
      <c r="E16" s="2">
        <v>2000</v>
      </c>
      <c r="F16" s="2">
        <v>16.408872717859758</v>
      </c>
      <c r="G16" s="25">
        <f t="shared" si="0"/>
        <v>8.2044363589298796E-3</v>
      </c>
      <c r="H16" s="250">
        <f t="shared" si="1"/>
        <v>7.7218224554634167E-3</v>
      </c>
      <c r="M16" s="65">
        <f>AVERAGE(G41:G50)</f>
        <v>1.5489539377711779E-2</v>
      </c>
      <c r="O16" s="251">
        <f t="shared" si="2"/>
        <v>1.3674060598216466E-2</v>
      </c>
      <c r="P16" s="46">
        <f t="shared" si="3"/>
        <v>27.348121196432931</v>
      </c>
      <c r="Q16" s="264">
        <f>AVERAGE(O41:O50)</f>
        <v>2.5815898962852961E-2</v>
      </c>
      <c r="S16" s="255" t="s">
        <v>84</v>
      </c>
      <c r="T16" s="260">
        <v>1.598924522255046E-2</v>
      </c>
      <c r="U16" s="267">
        <f t="shared" si="4"/>
        <v>1.9986556528188076E-2</v>
      </c>
    </row>
    <row r="17" spans="4:21" ht="16" thickBot="1" x14ac:dyDescent="0.4">
      <c r="D17" s="24">
        <v>22</v>
      </c>
      <c r="E17" s="2">
        <v>2000</v>
      </c>
      <c r="F17" s="2">
        <v>16.522502120865717</v>
      </c>
      <c r="G17" s="25">
        <f t="shared" si="0"/>
        <v>8.2612510604328591E-3</v>
      </c>
      <c r="H17" s="250">
        <f t="shared" si="1"/>
        <v>7.775295115701515E-3</v>
      </c>
      <c r="M17" s="65">
        <f>AVERAGE(G51:G60)</f>
        <v>2.8026861171499308E-2</v>
      </c>
      <c r="O17" s="251">
        <f t="shared" si="2"/>
        <v>1.3768751767388098E-2</v>
      </c>
      <c r="P17" s="46">
        <f t="shared" si="3"/>
        <v>27.537503534776196</v>
      </c>
      <c r="Q17" s="265">
        <f>AVERAGE(O51:O60)</f>
        <v>4.671143528583218E-2</v>
      </c>
      <c r="S17" s="256" t="s">
        <v>85</v>
      </c>
      <c r="T17" s="261">
        <v>2.6849689598775161E-2</v>
      </c>
      <c r="U17" s="268">
        <f t="shared" si="4"/>
        <v>3.3562111998468952E-2</v>
      </c>
    </row>
    <row r="18" spans="4:21" ht="16" thickBot="1" x14ac:dyDescent="0.4">
      <c r="D18" s="24">
        <v>23</v>
      </c>
      <c r="E18" s="2">
        <v>2000</v>
      </c>
      <c r="F18" s="2">
        <v>16.597415881365247</v>
      </c>
      <c r="G18" s="25">
        <f t="shared" si="0"/>
        <v>8.2987079406826245E-3</v>
      </c>
      <c r="H18" s="250">
        <f t="shared" si="1"/>
        <v>7.8105486500542349E-3</v>
      </c>
      <c r="I18" s="64" t="s">
        <v>55</v>
      </c>
      <c r="O18" s="251">
        <f t="shared" si="2"/>
        <v>1.3831179901137709E-2</v>
      </c>
      <c r="P18" s="46">
        <f t="shared" si="3"/>
        <v>27.662359802275418</v>
      </c>
    </row>
    <row r="19" spans="4:21" ht="15.5" x14ac:dyDescent="0.35">
      <c r="D19" s="24">
        <v>24</v>
      </c>
      <c r="E19" s="2">
        <v>2000</v>
      </c>
      <c r="F19" s="2">
        <v>16.771004606417879</v>
      </c>
      <c r="G19" s="25">
        <f t="shared" si="0"/>
        <v>8.3855023032089401E-3</v>
      </c>
      <c r="H19" s="250">
        <f t="shared" si="1"/>
        <v>7.892237461843709E-3</v>
      </c>
      <c r="I19" s="269" t="s">
        <v>41</v>
      </c>
      <c r="J19" s="41" t="s">
        <v>43</v>
      </c>
      <c r="K19" s="45">
        <f>AVERAGE(G13:G30)</f>
        <v>8.5969360055795398E-3</v>
      </c>
      <c r="O19" s="251">
        <f t="shared" si="2"/>
        <v>1.39758371720149E-2</v>
      </c>
      <c r="P19" s="46">
        <f t="shared" si="3"/>
        <v>27.951674344029801</v>
      </c>
    </row>
    <row r="20" spans="4:21" ht="15.5" x14ac:dyDescent="0.35">
      <c r="D20" s="24">
        <v>25</v>
      </c>
      <c r="E20" s="2">
        <v>2000</v>
      </c>
      <c r="F20" s="2">
        <v>16.803305871917917</v>
      </c>
      <c r="G20" s="25">
        <f t="shared" si="0"/>
        <v>8.4016529359589587E-3</v>
      </c>
      <c r="H20" s="250">
        <f t="shared" si="1"/>
        <v>7.9074380573731385E-3</v>
      </c>
      <c r="I20" s="270"/>
      <c r="J20" s="42" t="s">
        <v>44</v>
      </c>
      <c r="K20" s="78">
        <f>AVERAGE(G31:G45)</f>
        <v>1.1428401502074042E-2</v>
      </c>
      <c r="O20" s="251">
        <f t="shared" si="2"/>
        <v>1.4002754893264932E-2</v>
      </c>
      <c r="P20" s="46">
        <f t="shared" si="3"/>
        <v>28.005509786529863</v>
      </c>
    </row>
    <row r="21" spans="4:21" ht="16" thickBot="1" x14ac:dyDescent="0.4">
      <c r="D21" s="24">
        <v>26</v>
      </c>
      <c r="E21" s="2">
        <v>2000</v>
      </c>
      <c r="F21" s="2">
        <v>16.965202712556916</v>
      </c>
      <c r="G21" s="25">
        <f t="shared" si="0"/>
        <v>8.4826013562784575E-3</v>
      </c>
      <c r="H21" s="250">
        <f t="shared" si="1"/>
        <v>7.9836248059091362E-3</v>
      </c>
      <c r="I21" s="271"/>
      <c r="J21" s="43" t="s">
        <v>45</v>
      </c>
      <c r="K21" s="79">
        <f>AVERAGE(G46:G60)</f>
        <v>2.4544886531854864E-2</v>
      </c>
      <c r="O21" s="251">
        <f t="shared" si="2"/>
        <v>1.4137668927130764E-2</v>
      </c>
      <c r="P21" s="46">
        <f t="shared" si="3"/>
        <v>28.275337854261526</v>
      </c>
    </row>
    <row r="22" spans="4:21" ht="16" thickBot="1" x14ac:dyDescent="0.4">
      <c r="D22" s="24">
        <v>27</v>
      </c>
      <c r="E22" s="2">
        <v>2000</v>
      </c>
      <c r="F22" s="2">
        <v>17.059647388699748</v>
      </c>
      <c r="G22" s="25">
        <f t="shared" si="0"/>
        <v>8.5298236943498734E-3</v>
      </c>
      <c r="H22" s="250">
        <f t="shared" si="1"/>
        <v>8.028069359388117E-3</v>
      </c>
      <c r="I22" s="35" t="s">
        <v>42</v>
      </c>
      <c r="J22" s="44">
        <v>2000</v>
      </c>
      <c r="K22" s="36"/>
      <c r="O22" s="251">
        <f t="shared" si="2"/>
        <v>1.4216372823916456E-2</v>
      </c>
      <c r="P22" s="46">
        <f t="shared" si="3"/>
        <v>28.43274564783291</v>
      </c>
    </row>
    <row r="23" spans="4:21" ht="15.5" x14ac:dyDescent="0.35">
      <c r="D23" s="24">
        <v>28</v>
      </c>
      <c r="E23" s="2">
        <v>2000</v>
      </c>
      <c r="F23" s="2">
        <v>17.234704049599522</v>
      </c>
      <c r="G23" s="25">
        <f t="shared" si="0"/>
        <v>8.6173520247997612E-3</v>
      </c>
      <c r="H23" s="250">
        <f t="shared" si="1"/>
        <v>8.1104489645174218E-3</v>
      </c>
      <c r="I23" s="269" t="s">
        <v>23</v>
      </c>
      <c r="J23" s="41" t="s">
        <v>43</v>
      </c>
      <c r="K23" s="40">
        <f>2000*K19</f>
        <v>17.19387201115908</v>
      </c>
      <c r="O23" s="251">
        <f t="shared" si="2"/>
        <v>1.4362253374666269E-2</v>
      </c>
      <c r="P23" s="46">
        <f t="shared" si="3"/>
        <v>28.724506749332537</v>
      </c>
    </row>
    <row r="24" spans="4:21" ht="15.5" x14ac:dyDescent="0.35">
      <c r="D24" s="24">
        <v>29</v>
      </c>
      <c r="E24" s="2">
        <v>2000</v>
      </c>
      <c r="F24" s="2">
        <v>17.377326522346642</v>
      </c>
      <c r="G24" s="25">
        <f t="shared" si="0"/>
        <v>8.6886632611733218E-3</v>
      </c>
      <c r="H24" s="250">
        <f t="shared" si="1"/>
        <v>8.1775654222807741E-3</v>
      </c>
      <c r="I24" s="270"/>
      <c r="J24" s="42" t="s">
        <v>44</v>
      </c>
      <c r="K24" s="37">
        <f t="shared" ref="K24:K25" si="5">2000*K20</f>
        <v>22.856803004148084</v>
      </c>
      <c r="O24" s="251">
        <f t="shared" si="2"/>
        <v>1.448110543528887E-2</v>
      </c>
      <c r="P24" s="46">
        <f t="shared" si="3"/>
        <v>28.962210870577742</v>
      </c>
    </row>
    <row r="25" spans="4:21" ht="16" thickBot="1" x14ac:dyDescent="0.4">
      <c r="D25" s="24">
        <v>30</v>
      </c>
      <c r="E25" s="2">
        <v>2000</v>
      </c>
      <c r="F25" s="2">
        <v>17.592692708051899</v>
      </c>
      <c r="G25" s="25">
        <f t="shared" si="0"/>
        <v>8.7963463540259492E-3</v>
      </c>
      <c r="H25" s="250">
        <f t="shared" si="1"/>
        <v>8.2789142155538353E-3</v>
      </c>
      <c r="I25" s="271"/>
      <c r="J25" s="43" t="s">
        <v>45</v>
      </c>
      <c r="K25" s="38">
        <f t="shared" si="5"/>
        <v>49.089773063709728</v>
      </c>
      <c r="O25" s="251">
        <f t="shared" si="2"/>
        <v>1.4660577256709917E-2</v>
      </c>
      <c r="P25" s="46">
        <f t="shared" si="3"/>
        <v>29.321154513419835</v>
      </c>
    </row>
    <row r="26" spans="4:21" ht="15.5" x14ac:dyDescent="0.35">
      <c r="D26" s="24">
        <v>31</v>
      </c>
      <c r="E26" s="2">
        <v>2000</v>
      </c>
      <c r="F26" s="2">
        <v>17.672428327785202</v>
      </c>
      <c r="G26" s="25">
        <f t="shared" si="0"/>
        <v>8.8362141638926011E-3</v>
      </c>
      <c r="H26" s="250">
        <f t="shared" si="1"/>
        <v>8.3164368601342138E-3</v>
      </c>
      <c r="O26" s="251">
        <f t="shared" si="2"/>
        <v>1.472702360648767E-2</v>
      </c>
      <c r="P26" s="46">
        <f t="shared" si="3"/>
        <v>29.45404721297534</v>
      </c>
    </row>
    <row r="27" spans="4:21" ht="16" thickBot="1" x14ac:dyDescent="0.4">
      <c r="D27" s="24">
        <v>32</v>
      </c>
      <c r="E27" s="2">
        <v>2000</v>
      </c>
      <c r="F27" s="2">
        <v>18.22232275135168</v>
      </c>
      <c r="G27" s="25">
        <f t="shared" si="0"/>
        <v>9.1111613756758407E-3</v>
      </c>
      <c r="H27" s="250">
        <f t="shared" si="1"/>
        <v>8.575210706518439E-3</v>
      </c>
      <c r="O27" s="251">
        <f t="shared" si="2"/>
        <v>1.5185268959459736E-2</v>
      </c>
      <c r="P27" s="46">
        <f t="shared" si="3"/>
        <v>30.370537918919471</v>
      </c>
    </row>
    <row r="28" spans="4:21" ht="16" thickBot="1" x14ac:dyDescent="0.4">
      <c r="D28" s="24">
        <v>33</v>
      </c>
      <c r="E28" s="2">
        <v>2000</v>
      </c>
      <c r="F28" s="2">
        <v>18.318601023951846</v>
      </c>
      <c r="G28" s="25">
        <f t="shared" si="0"/>
        <v>9.1593005119759222E-3</v>
      </c>
      <c r="H28" s="250">
        <f t="shared" si="1"/>
        <v>8.6205181289185154E-3</v>
      </c>
      <c r="I28" s="64" t="s">
        <v>56</v>
      </c>
      <c r="O28" s="251">
        <f t="shared" si="2"/>
        <v>1.5265500853293205E-2</v>
      </c>
      <c r="P28" s="46">
        <f t="shared" si="3"/>
        <v>30.531001706586409</v>
      </c>
    </row>
    <row r="29" spans="4:21" ht="15.5" x14ac:dyDescent="0.35">
      <c r="D29" s="24">
        <v>34</v>
      </c>
      <c r="E29" s="2">
        <v>2000</v>
      </c>
      <c r="F29" s="2">
        <v>18.392498808792528</v>
      </c>
      <c r="G29" s="25">
        <f t="shared" si="0"/>
        <v>9.1962494043962631E-3</v>
      </c>
      <c r="H29" s="250">
        <f t="shared" si="1"/>
        <v>8.6552935570788359E-3</v>
      </c>
      <c r="I29" s="269" t="s">
        <v>41</v>
      </c>
      <c r="J29" s="69" t="s">
        <v>57</v>
      </c>
      <c r="K29" s="66">
        <f>AVERAGE(G13:G35)</f>
        <v>8.8636601523959715E-3</v>
      </c>
      <c r="O29" s="251">
        <f t="shared" si="2"/>
        <v>1.532708234066044E-2</v>
      </c>
      <c r="P29" s="46">
        <f t="shared" si="3"/>
        <v>30.654164681320879</v>
      </c>
    </row>
    <row r="30" spans="4:21" ht="15.5" x14ac:dyDescent="0.35">
      <c r="D30" s="24">
        <v>35</v>
      </c>
      <c r="E30" s="2">
        <v>2000</v>
      </c>
      <c r="F30" s="2">
        <v>18.703878608763613</v>
      </c>
      <c r="G30" s="25">
        <f t="shared" si="0"/>
        <v>9.3519393043818063E-3</v>
      </c>
      <c r="H30" s="250">
        <f t="shared" si="1"/>
        <v>8.8018252276534648E-3</v>
      </c>
      <c r="I30" s="270"/>
      <c r="J30" s="70" t="s">
        <v>58</v>
      </c>
      <c r="K30" s="67">
        <f>AVERAGE(G36:G50)</f>
        <v>1.4014091559284325E-2</v>
      </c>
      <c r="M30" s="65"/>
      <c r="O30" s="251">
        <f t="shared" si="2"/>
        <v>1.5586565507303011E-2</v>
      </c>
      <c r="P30" s="46">
        <f t="shared" si="3"/>
        <v>31.173131014606021</v>
      </c>
    </row>
    <row r="31" spans="4:21" ht="15.5" x14ac:dyDescent="0.35">
      <c r="D31" s="24">
        <v>36</v>
      </c>
      <c r="E31" s="2">
        <v>2000</v>
      </c>
      <c r="F31" s="2">
        <v>18.918974242892116</v>
      </c>
      <c r="G31" s="25">
        <f t="shared" si="0"/>
        <v>9.4594871214460571E-3</v>
      </c>
      <c r="H31" s="250">
        <f t="shared" si="1"/>
        <v>8.9030467025374652E-3</v>
      </c>
      <c r="I31" s="270"/>
      <c r="J31" s="70" t="s">
        <v>59</v>
      </c>
      <c r="K31" s="67">
        <f>AVERAGE(G51:G55)</f>
        <v>2.3496970949238465E-2</v>
      </c>
      <c r="M31" s="65"/>
      <c r="O31" s="251">
        <f t="shared" si="2"/>
        <v>1.5765811869076763E-2</v>
      </c>
      <c r="P31" s="46">
        <f t="shared" si="3"/>
        <v>31.531623738153527</v>
      </c>
    </row>
    <row r="32" spans="4:21" ht="16" thickBot="1" x14ac:dyDescent="0.4">
      <c r="D32" s="24">
        <v>37</v>
      </c>
      <c r="E32" s="2">
        <v>2000</v>
      </c>
      <c r="F32" s="2">
        <v>19.24176976860921</v>
      </c>
      <c r="G32" s="25">
        <f t="shared" si="0"/>
        <v>9.6208848843046049E-3</v>
      </c>
      <c r="H32" s="250">
        <f t="shared" si="1"/>
        <v>9.0549504793455103E-3</v>
      </c>
      <c r="I32" s="270"/>
      <c r="J32" s="71" t="s">
        <v>60</v>
      </c>
      <c r="K32" s="68">
        <f>AVERAGE(G56:G60)</f>
        <v>3.2556751393760144E-2</v>
      </c>
      <c r="O32" s="251">
        <f t="shared" si="2"/>
        <v>1.6034808140507676E-2</v>
      </c>
      <c r="P32" s="46">
        <f t="shared" si="3"/>
        <v>32.06961628101535</v>
      </c>
    </row>
    <row r="33" spans="4:16" ht="16" thickBot="1" x14ac:dyDescent="0.4">
      <c r="D33" s="24">
        <v>38</v>
      </c>
      <c r="E33" s="2">
        <v>2000</v>
      </c>
      <c r="F33" s="2">
        <v>19.80714822489437</v>
      </c>
      <c r="G33" s="25">
        <f t="shared" si="0"/>
        <v>9.9035741124471853E-3</v>
      </c>
      <c r="H33" s="250">
        <f t="shared" si="1"/>
        <v>9.3210109293620572E-3</v>
      </c>
      <c r="I33" s="76" t="s">
        <v>42</v>
      </c>
      <c r="J33" s="72">
        <v>2000</v>
      </c>
      <c r="K33" s="40"/>
      <c r="O33" s="251">
        <f t="shared" si="2"/>
        <v>1.6505956854078643E-2</v>
      </c>
      <c r="P33" s="46">
        <f t="shared" si="3"/>
        <v>33.011913708157287</v>
      </c>
    </row>
    <row r="34" spans="4:16" ht="15.5" x14ac:dyDescent="0.35">
      <c r="D34" s="24">
        <v>39</v>
      </c>
      <c r="E34" s="2">
        <v>2000</v>
      </c>
      <c r="F34" s="2">
        <v>19.870957719924341</v>
      </c>
      <c r="G34" s="25">
        <f t="shared" si="0"/>
        <v>9.9354788599621702E-3</v>
      </c>
      <c r="H34" s="250">
        <f t="shared" si="1"/>
        <v>9.3510389270232211E-3</v>
      </c>
      <c r="I34" s="269" t="s">
        <v>23</v>
      </c>
      <c r="J34" s="69" t="s">
        <v>57</v>
      </c>
      <c r="K34" s="73">
        <f>$J$33*K29</f>
        <v>17.727320304791942</v>
      </c>
      <c r="O34" s="251">
        <f t="shared" si="2"/>
        <v>1.6559131433270285E-2</v>
      </c>
      <c r="P34" s="46">
        <f t="shared" si="3"/>
        <v>33.118262866540569</v>
      </c>
    </row>
    <row r="35" spans="4:16" ht="15.5" x14ac:dyDescent="0.35">
      <c r="D35" s="24">
        <v>40</v>
      </c>
      <c r="E35" s="2">
        <v>2000</v>
      </c>
      <c r="F35" s="2">
        <v>20.399820853031237</v>
      </c>
      <c r="G35" s="25">
        <f t="shared" si="0"/>
        <v>1.0199910426515619E-2</v>
      </c>
      <c r="H35" s="250">
        <f t="shared" si="1"/>
        <v>9.5999156955441124E-3</v>
      </c>
      <c r="I35" s="270"/>
      <c r="J35" s="70" t="s">
        <v>58</v>
      </c>
      <c r="K35" s="74">
        <f t="shared" ref="K35:K37" si="6">$J$33*K30</f>
        <v>28.028183118568649</v>
      </c>
      <c r="O35" s="251">
        <f t="shared" si="2"/>
        <v>1.6999850710859365E-2</v>
      </c>
      <c r="P35" s="46">
        <f t="shared" si="3"/>
        <v>33.999701421718733</v>
      </c>
    </row>
    <row r="36" spans="4:16" ht="15.5" x14ac:dyDescent="0.35">
      <c r="D36" s="24">
        <v>41</v>
      </c>
      <c r="E36" s="2">
        <v>2000</v>
      </c>
      <c r="F36" s="2">
        <v>20.941211151561038</v>
      </c>
      <c r="G36" s="25">
        <f t="shared" si="0"/>
        <v>1.047060557578052E-2</v>
      </c>
      <c r="H36" s="250">
        <f t="shared" si="1"/>
        <v>9.854687600734607E-3</v>
      </c>
      <c r="I36" s="270"/>
      <c r="J36" s="70" t="s">
        <v>59</v>
      </c>
      <c r="K36" s="74">
        <f t="shared" si="6"/>
        <v>46.993941898476926</v>
      </c>
      <c r="O36" s="251">
        <f t="shared" si="2"/>
        <v>1.7451009292967532E-2</v>
      </c>
      <c r="P36" s="46">
        <f t="shared" si="3"/>
        <v>34.902018585935068</v>
      </c>
    </row>
    <row r="37" spans="4:16" ht="16" thickBot="1" x14ac:dyDescent="0.4">
      <c r="D37" s="24">
        <v>42</v>
      </c>
      <c r="E37" s="2">
        <v>2000</v>
      </c>
      <c r="F37" s="2">
        <v>21.421681655827271</v>
      </c>
      <c r="G37" s="25">
        <f t="shared" si="0"/>
        <v>1.0710840827913636E-2</v>
      </c>
      <c r="H37" s="250">
        <f t="shared" si="1"/>
        <v>1.008079136744813E-2</v>
      </c>
      <c r="I37" s="271"/>
      <c r="J37" s="75" t="s">
        <v>60</v>
      </c>
      <c r="K37" s="77">
        <f t="shared" si="6"/>
        <v>65.113502787520289</v>
      </c>
      <c r="O37" s="251">
        <f t="shared" si="2"/>
        <v>1.7851401379856063E-2</v>
      </c>
      <c r="P37" s="46">
        <f t="shared" si="3"/>
        <v>35.702802759712128</v>
      </c>
    </row>
    <row r="38" spans="4:16" ht="15.5" x14ac:dyDescent="0.35">
      <c r="D38" s="24">
        <v>43</v>
      </c>
      <c r="E38" s="2">
        <v>2000</v>
      </c>
      <c r="F38" s="2">
        <v>22.082643614501098</v>
      </c>
      <c r="G38" s="25">
        <f t="shared" si="0"/>
        <v>1.1041321807250549E-2</v>
      </c>
      <c r="H38" s="250">
        <f t="shared" si="1"/>
        <v>1.0391832289176988E-2</v>
      </c>
      <c r="O38" s="251">
        <f t="shared" si="2"/>
        <v>1.8402203012084249E-2</v>
      </c>
      <c r="P38" s="46">
        <f t="shared" si="3"/>
        <v>36.8044060241685</v>
      </c>
    </row>
    <row r="39" spans="4:16" ht="15.5" x14ac:dyDescent="0.35">
      <c r="D39" s="24">
        <v>44</v>
      </c>
      <c r="E39" s="2">
        <v>2000</v>
      </c>
      <c r="F39" s="2">
        <v>22.624748314969438</v>
      </c>
      <c r="G39" s="25">
        <f t="shared" si="0"/>
        <v>1.1312374157484718E-2</v>
      </c>
      <c r="H39" s="250">
        <f t="shared" si="1"/>
        <v>1.0646940383515029E-2</v>
      </c>
      <c r="O39" s="251">
        <f t="shared" si="2"/>
        <v>1.8853956929141196E-2</v>
      </c>
      <c r="P39" s="46">
        <f t="shared" si="3"/>
        <v>37.707913858282389</v>
      </c>
    </row>
    <row r="40" spans="4:16" ht="15.5" x14ac:dyDescent="0.35">
      <c r="D40" s="24">
        <v>45</v>
      </c>
      <c r="E40" s="2">
        <v>2000</v>
      </c>
      <c r="F40" s="2">
        <v>23.561674487435379</v>
      </c>
      <c r="G40" s="25">
        <f t="shared" si="0"/>
        <v>1.1780837243717689E-2</v>
      </c>
      <c r="H40" s="250">
        <f t="shared" si="1"/>
        <v>1.108784681761665E-2</v>
      </c>
      <c r="O40" s="251">
        <f t="shared" si="2"/>
        <v>1.9634728739529483E-2</v>
      </c>
      <c r="P40" s="46">
        <f t="shared" si="3"/>
        <v>39.269457479058964</v>
      </c>
    </row>
    <row r="41" spans="4:16" ht="15.5" x14ac:dyDescent="0.35">
      <c r="D41" s="24">
        <v>46</v>
      </c>
      <c r="E41" s="2">
        <v>2000</v>
      </c>
      <c r="F41" s="2">
        <v>24.263320238274538</v>
      </c>
      <c r="G41" s="25">
        <f t="shared" si="0"/>
        <v>1.2131660119137268E-2</v>
      </c>
      <c r="H41" s="250">
        <f t="shared" si="1"/>
        <v>1.1418033053305665E-2</v>
      </c>
      <c r="O41" s="251">
        <f t="shared" si="2"/>
        <v>2.021943353189545E-2</v>
      </c>
      <c r="P41" s="46">
        <f t="shared" si="3"/>
        <v>40.438867063790902</v>
      </c>
    </row>
    <row r="42" spans="4:16" ht="15.5" x14ac:dyDescent="0.35">
      <c r="D42" s="24">
        <v>47</v>
      </c>
      <c r="E42" s="2">
        <v>2000</v>
      </c>
      <c r="F42" s="2">
        <v>25.528336166020079</v>
      </c>
      <c r="G42" s="25">
        <f t="shared" si="0"/>
        <v>1.2764168083010039E-2</v>
      </c>
      <c r="H42" s="250">
        <f t="shared" si="1"/>
        <v>1.2013334666362391E-2</v>
      </c>
      <c r="O42" s="251">
        <f t="shared" si="2"/>
        <v>2.1273613471683401E-2</v>
      </c>
      <c r="P42" s="46">
        <f t="shared" si="3"/>
        <v>42.547226943366802</v>
      </c>
    </row>
    <row r="43" spans="4:16" ht="15.5" x14ac:dyDescent="0.35">
      <c r="D43" s="24">
        <v>48</v>
      </c>
      <c r="E43" s="2">
        <v>2000</v>
      </c>
      <c r="F43" s="2">
        <v>26.684509658951036</v>
      </c>
      <c r="G43" s="25">
        <f t="shared" si="0"/>
        <v>1.3342254829475517E-2</v>
      </c>
      <c r="H43" s="250">
        <f t="shared" si="1"/>
        <v>1.2557416310094606E-2</v>
      </c>
      <c r="O43" s="251">
        <f t="shared" si="2"/>
        <v>2.2237091382459197E-2</v>
      </c>
      <c r="P43" s="46">
        <f t="shared" si="3"/>
        <v>44.474182764918396</v>
      </c>
    </row>
    <row r="44" spans="4:16" ht="15.5" x14ac:dyDescent="0.35">
      <c r="D44" s="24">
        <v>49</v>
      </c>
      <c r="E44" s="2">
        <v>2000</v>
      </c>
      <c r="F44" s="2">
        <v>27.864403673132561</v>
      </c>
      <c r="G44" s="25">
        <f t="shared" si="0"/>
        <v>1.393220183656628E-2</v>
      </c>
      <c r="H44" s="250">
        <f t="shared" si="1"/>
        <v>1.3112660552062382E-2</v>
      </c>
      <c r="O44" s="251">
        <f t="shared" si="2"/>
        <v>2.3220336394277133E-2</v>
      </c>
      <c r="P44" s="46">
        <f t="shared" si="3"/>
        <v>46.440672788554267</v>
      </c>
    </row>
    <row r="45" spans="4:16" ht="15.5" x14ac:dyDescent="0.35">
      <c r="D45" s="24">
        <v>50</v>
      </c>
      <c r="E45" s="2">
        <v>2000</v>
      </c>
      <c r="F45" s="2">
        <v>29.640845292197486</v>
      </c>
      <c r="G45" s="25">
        <f t="shared" si="0"/>
        <v>1.4820422646098744E-2</v>
      </c>
      <c r="H45" s="250">
        <f t="shared" si="1"/>
        <v>1.3948633078681171E-2</v>
      </c>
      <c r="O45" s="251">
        <f t="shared" si="2"/>
        <v>2.4700704410164573E-2</v>
      </c>
      <c r="P45" s="46">
        <f t="shared" si="3"/>
        <v>49.401408820329145</v>
      </c>
    </row>
    <row r="46" spans="4:16" ht="15.5" x14ac:dyDescent="0.35">
      <c r="D46" s="24">
        <v>51</v>
      </c>
      <c r="E46" s="2">
        <v>2000</v>
      </c>
      <c r="F46" s="2">
        <v>31.317361657224293</v>
      </c>
      <c r="G46" s="25">
        <f t="shared" si="0"/>
        <v>1.5658680828612145E-2</v>
      </c>
      <c r="H46" s="250">
        <f t="shared" si="1"/>
        <v>1.4737581956340845E-2</v>
      </c>
      <c r="O46" s="251">
        <f t="shared" si="2"/>
        <v>2.6097801381020243E-2</v>
      </c>
      <c r="P46" s="46">
        <f t="shared" si="3"/>
        <v>52.195602762040487</v>
      </c>
    </row>
    <row r="47" spans="4:16" ht="15.5" x14ac:dyDescent="0.35">
      <c r="D47" s="24">
        <v>52</v>
      </c>
      <c r="E47" s="2">
        <v>2000</v>
      </c>
      <c r="F47" s="2">
        <v>32.538321069860558</v>
      </c>
      <c r="G47" s="25">
        <f t="shared" si="0"/>
        <v>1.6269160534930278E-2</v>
      </c>
      <c r="H47" s="250">
        <f t="shared" si="1"/>
        <v>1.5312151091699087E-2</v>
      </c>
      <c r="O47" s="251">
        <f t="shared" si="2"/>
        <v>2.7115267558217131E-2</v>
      </c>
      <c r="P47" s="46">
        <f t="shared" si="3"/>
        <v>54.230535116434261</v>
      </c>
    </row>
    <row r="48" spans="4:16" ht="15.5" x14ac:dyDescent="0.35">
      <c r="D48" s="24">
        <v>53</v>
      </c>
      <c r="E48" s="2">
        <v>2000</v>
      </c>
      <c r="F48" s="2">
        <v>34.747360584933155</v>
      </c>
      <c r="G48" s="25">
        <f t="shared" si="0"/>
        <v>1.7373680292466578E-2</v>
      </c>
      <c r="H48" s="250">
        <f t="shared" si="1"/>
        <v>1.6351699098792073E-2</v>
      </c>
      <c r="O48" s="251">
        <f t="shared" si="2"/>
        <v>2.8956133820777632E-2</v>
      </c>
      <c r="P48" s="46">
        <f t="shared" si="3"/>
        <v>57.91226764155526</v>
      </c>
    </row>
    <row r="49" spans="4:16" ht="15.5" x14ac:dyDescent="0.35">
      <c r="D49" s="24">
        <v>54</v>
      </c>
      <c r="E49" s="2">
        <v>2000</v>
      </c>
      <c r="F49" s="2">
        <v>37.290998515462896</v>
      </c>
      <c r="G49" s="25">
        <f t="shared" si="0"/>
        <v>1.8645499257731447E-2</v>
      </c>
      <c r="H49" s="250">
        <f t="shared" si="1"/>
        <v>1.7548705183747244E-2</v>
      </c>
      <c r="O49" s="251">
        <f t="shared" si="2"/>
        <v>3.1075832096219079E-2</v>
      </c>
      <c r="P49" s="46">
        <f t="shared" si="3"/>
        <v>62.151664192438155</v>
      </c>
    </row>
    <row r="50" spans="4:16" ht="15.5" x14ac:dyDescent="0.35">
      <c r="D50" s="24">
        <v>55</v>
      </c>
      <c r="E50" s="2">
        <v>2000</v>
      </c>
      <c r="F50" s="2">
        <v>39.91533069817892</v>
      </c>
      <c r="G50" s="25">
        <f t="shared" si="0"/>
        <v>1.9957665349089462E-2</v>
      </c>
      <c r="H50" s="250">
        <f t="shared" si="1"/>
        <v>1.8783685034437139E-2</v>
      </c>
      <c r="O50" s="251">
        <f t="shared" si="2"/>
        <v>3.3262775581815771E-2</v>
      </c>
      <c r="P50" s="46">
        <f t="shared" si="3"/>
        <v>66.525551163631548</v>
      </c>
    </row>
    <row r="51" spans="4:16" ht="15.5" x14ac:dyDescent="0.35">
      <c r="D51" s="24">
        <v>56</v>
      </c>
      <c r="E51" s="2">
        <v>2000</v>
      </c>
      <c r="F51" s="2">
        <v>41.274953398555752</v>
      </c>
      <c r="G51" s="25">
        <f t="shared" si="0"/>
        <v>2.0637476699277877E-2</v>
      </c>
      <c r="H51" s="250">
        <f t="shared" si="1"/>
        <v>1.9423507481673295E-2</v>
      </c>
      <c r="O51" s="251">
        <f t="shared" si="2"/>
        <v>3.4395794498796463E-2</v>
      </c>
      <c r="P51" s="46">
        <f t="shared" si="3"/>
        <v>68.791588997592925</v>
      </c>
    </row>
    <row r="52" spans="4:16" ht="15.5" x14ac:dyDescent="0.35">
      <c r="D52" s="24">
        <v>57</v>
      </c>
      <c r="E52" s="2">
        <v>2000</v>
      </c>
      <c r="F52" s="2">
        <v>43.786391026132833</v>
      </c>
      <c r="G52" s="25">
        <f t="shared" si="0"/>
        <v>2.1893195513066416E-2</v>
      </c>
      <c r="H52" s="250">
        <f t="shared" si="1"/>
        <v>2.060536048288604E-2</v>
      </c>
      <c r="O52" s="251">
        <f t="shared" si="2"/>
        <v>3.6488659188444031E-2</v>
      </c>
      <c r="P52" s="46">
        <f t="shared" si="3"/>
        <v>72.977318376888064</v>
      </c>
    </row>
    <row r="53" spans="4:16" ht="15.5" x14ac:dyDescent="0.35">
      <c r="D53" s="24">
        <v>58</v>
      </c>
      <c r="E53" s="2">
        <v>2000</v>
      </c>
      <c r="F53" s="2">
        <v>46.428628956352078</v>
      </c>
      <c r="G53" s="25">
        <f t="shared" si="0"/>
        <v>2.321431447817604E-2</v>
      </c>
      <c r="H53" s="250">
        <f t="shared" si="1"/>
        <v>2.1848766567695101E-2</v>
      </c>
      <c r="O53" s="251">
        <f t="shared" si="2"/>
        <v>3.8690524130293405E-2</v>
      </c>
      <c r="P53" s="46">
        <f t="shared" si="3"/>
        <v>77.381048260586809</v>
      </c>
    </row>
    <row r="54" spans="4:16" ht="15.5" x14ac:dyDescent="0.35">
      <c r="D54" s="24">
        <v>59</v>
      </c>
      <c r="E54" s="2">
        <v>2000</v>
      </c>
      <c r="F54" s="2">
        <v>50.299793962174228</v>
      </c>
      <c r="G54" s="25">
        <f t="shared" si="0"/>
        <v>2.5149896981087112E-2</v>
      </c>
      <c r="H54" s="250">
        <f t="shared" si="1"/>
        <v>2.3670491276317287E-2</v>
      </c>
      <c r="O54" s="251">
        <f t="shared" si="2"/>
        <v>4.1916494968478525E-2</v>
      </c>
      <c r="P54" s="46">
        <f t="shared" si="3"/>
        <v>83.832989936957048</v>
      </c>
    </row>
    <row r="55" spans="4:16" ht="15.5" x14ac:dyDescent="0.35">
      <c r="D55" s="24">
        <v>60</v>
      </c>
      <c r="E55" s="2">
        <v>2000</v>
      </c>
      <c r="F55" s="2">
        <v>53.179942149169747</v>
      </c>
      <c r="G55" s="25">
        <f t="shared" si="0"/>
        <v>2.6589971074584873E-2</v>
      </c>
      <c r="H55" s="250">
        <f t="shared" si="1"/>
        <v>2.5025855129021061E-2</v>
      </c>
      <c r="O55" s="251">
        <f t="shared" si="2"/>
        <v>4.4316618457641455E-2</v>
      </c>
      <c r="P55" s="46">
        <f t="shared" si="3"/>
        <v>88.633236915282907</v>
      </c>
    </row>
    <row r="56" spans="4:16" ht="15.5" x14ac:dyDescent="0.35">
      <c r="D56" s="24">
        <v>61</v>
      </c>
      <c r="E56" s="2">
        <v>2000</v>
      </c>
      <c r="F56" s="2">
        <v>55.350799383484542</v>
      </c>
      <c r="G56" s="25">
        <f t="shared" si="0"/>
        <v>2.7675399691742271E-2</v>
      </c>
      <c r="H56" s="250">
        <f t="shared" si="1"/>
        <v>2.6047435003992727E-2</v>
      </c>
      <c r="O56" s="251">
        <f t="shared" si="2"/>
        <v>4.612566615290379E-2</v>
      </c>
      <c r="P56" s="46">
        <f t="shared" si="3"/>
        <v>92.25133230580758</v>
      </c>
    </row>
    <row r="57" spans="4:16" ht="15.5" x14ac:dyDescent="0.35">
      <c r="D57" s="24">
        <v>62</v>
      </c>
      <c r="E57" s="2">
        <v>2000</v>
      </c>
      <c r="F57" s="2">
        <v>60.395829694672479</v>
      </c>
      <c r="G57" s="25">
        <f t="shared" si="0"/>
        <v>3.0197914847336239E-2</v>
      </c>
      <c r="H57" s="250">
        <f t="shared" si="1"/>
        <v>2.842156691513999E-2</v>
      </c>
      <c r="O57" s="251">
        <f t="shared" si="2"/>
        <v>5.032985807889373E-2</v>
      </c>
      <c r="P57" s="46">
        <f t="shared" si="3"/>
        <v>100.65971615778746</v>
      </c>
    </row>
    <row r="58" spans="4:16" ht="15.5" x14ac:dyDescent="0.35">
      <c r="D58" s="24">
        <v>63</v>
      </c>
      <c r="E58" s="2">
        <v>2000</v>
      </c>
      <c r="F58" s="2">
        <v>63.904388990780028</v>
      </c>
      <c r="G58" s="25">
        <f t="shared" si="0"/>
        <v>3.1952194495390017E-2</v>
      </c>
      <c r="H58" s="250">
        <f t="shared" si="1"/>
        <v>3.0072653642720021E-2</v>
      </c>
      <c r="O58" s="251">
        <f t="shared" si="2"/>
        <v>5.3253657492316697E-2</v>
      </c>
      <c r="P58" s="46">
        <f t="shared" si="3"/>
        <v>106.5073149846334</v>
      </c>
    </row>
    <row r="59" spans="4:16" ht="15.5" x14ac:dyDescent="0.35">
      <c r="D59" s="24">
        <v>64</v>
      </c>
      <c r="E59" s="2">
        <v>2000</v>
      </c>
      <c r="F59" s="2">
        <v>69.963125020444039</v>
      </c>
      <c r="G59" s="25">
        <f t="shared" si="0"/>
        <v>3.4981562510222018E-2</v>
      </c>
      <c r="H59" s="250">
        <f t="shared" si="1"/>
        <v>3.292382353903249E-2</v>
      </c>
      <c r="O59" s="251">
        <f t="shared" si="2"/>
        <v>5.8302604183703366E-2</v>
      </c>
      <c r="P59" s="46">
        <f t="shared" si="3"/>
        <v>116.60520836740673</v>
      </c>
    </row>
    <row r="60" spans="4:16" ht="16" thickBot="1" x14ac:dyDescent="0.4">
      <c r="D60" s="26">
        <v>65</v>
      </c>
      <c r="E60" s="27">
        <v>2000</v>
      </c>
      <c r="F60" s="27">
        <v>75.953370848220345</v>
      </c>
      <c r="G60" s="28">
        <f t="shared" si="0"/>
        <v>3.7976685424110174E-2</v>
      </c>
      <c r="H60" s="250">
        <f t="shared" si="1"/>
        <v>3.5742762752103696E-2</v>
      </c>
      <c r="O60" s="252">
        <f t="shared" si="2"/>
        <v>6.3294475706850289E-2</v>
      </c>
      <c r="P60" s="253">
        <f t="shared" si="3"/>
        <v>126.58895141370058</v>
      </c>
    </row>
  </sheetData>
  <mergeCells count="6">
    <mergeCell ref="I34:I37"/>
    <mergeCell ref="E3:K4"/>
    <mergeCell ref="S12:T12"/>
    <mergeCell ref="I19:I21"/>
    <mergeCell ref="I23:I25"/>
    <mergeCell ref="I29:I3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M60"/>
  <sheetViews>
    <sheetView topLeftCell="A4" zoomScaleNormal="100" workbookViewId="0">
      <selection activeCell="E22" sqref="E22"/>
    </sheetView>
  </sheetViews>
  <sheetFormatPr defaultRowHeight="14.5" x14ac:dyDescent="0.35"/>
  <cols>
    <col min="2" max="2" width="16.453125" bestFit="1" customWidth="1"/>
    <col min="5" max="5" width="15.54296875" bestFit="1" customWidth="1"/>
    <col min="6" max="6" width="13.7265625" bestFit="1" customWidth="1"/>
    <col min="7" max="7" width="19.54296875" bestFit="1" customWidth="1"/>
    <col min="9" max="9" width="15.54296875" bestFit="1" customWidth="1"/>
    <col min="10" max="11" width="9.54296875" bestFit="1" customWidth="1"/>
  </cols>
  <sheetData>
    <row r="2" spans="2:13" ht="15" thickBot="1" x14ac:dyDescent="0.4"/>
    <row r="3" spans="2:13" x14ac:dyDescent="0.35">
      <c r="E3" s="278" t="s">
        <v>93</v>
      </c>
      <c r="F3" s="279"/>
      <c r="G3" s="279"/>
      <c r="H3" s="279"/>
      <c r="I3" s="279"/>
      <c r="J3" s="279"/>
      <c r="K3" s="280"/>
    </row>
    <row r="4" spans="2:13" ht="15" thickBot="1" x14ac:dyDescent="0.4">
      <c r="E4" s="281"/>
      <c r="F4" s="282"/>
      <c r="G4" s="282"/>
      <c r="H4" s="282"/>
      <c r="I4" s="282"/>
      <c r="J4" s="282"/>
      <c r="K4" s="283"/>
    </row>
    <row r="7" spans="2:13" x14ac:dyDescent="0.35">
      <c r="B7" s="22" t="s">
        <v>38</v>
      </c>
      <c r="C7" s="23">
        <v>2000</v>
      </c>
    </row>
    <row r="8" spans="2:13" x14ac:dyDescent="0.35">
      <c r="B8" s="22" t="s">
        <v>39</v>
      </c>
      <c r="C8" s="23" t="s">
        <v>40</v>
      </c>
    </row>
    <row r="9" spans="2:13" x14ac:dyDescent="0.35">
      <c r="B9" s="22" t="s">
        <v>46</v>
      </c>
      <c r="C9" s="51">
        <v>0.15</v>
      </c>
    </row>
    <row r="10" spans="2:13" x14ac:dyDescent="0.35">
      <c r="B10" s="22" t="s">
        <v>10</v>
      </c>
      <c r="C10" s="51">
        <v>0.15</v>
      </c>
    </row>
    <row r="11" spans="2:13" ht="15" thickBot="1" x14ac:dyDescent="0.4">
      <c r="C11" s="50"/>
    </row>
    <row r="12" spans="2:13" ht="16" thickBot="1" x14ac:dyDescent="0.4">
      <c r="D12" s="29" t="s">
        <v>36</v>
      </c>
      <c r="E12" s="30" t="s">
        <v>20</v>
      </c>
      <c r="F12" s="30" t="s">
        <v>22</v>
      </c>
      <c r="G12" s="31" t="s">
        <v>37</v>
      </c>
      <c r="I12" s="64" t="s">
        <v>54</v>
      </c>
    </row>
    <row r="13" spans="2:13" ht="15.5" x14ac:dyDescent="0.35">
      <c r="D13" s="24">
        <v>18</v>
      </c>
      <c r="E13" s="2">
        <v>2000</v>
      </c>
      <c r="F13" s="2">
        <v>23.187231565502927</v>
      </c>
      <c r="G13" s="25">
        <v>1.1593615782751464E-2</v>
      </c>
      <c r="I13" s="47" t="s">
        <v>41</v>
      </c>
      <c r="J13" s="45">
        <f>AVERAGE(G13:G60)</f>
        <v>2.0691688668804914E-2</v>
      </c>
      <c r="K13" s="32"/>
      <c r="M13" s="65">
        <f>AVERAGE(G13:G20)</f>
        <v>1.1796497679256364E-2</v>
      </c>
    </row>
    <row r="14" spans="2:13" ht="15.5" x14ac:dyDescent="0.35">
      <c r="D14" s="24">
        <v>19</v>
      </c>
      <c r="E14" s="2">
        <v>2000</v>
      </c>
      <c r="F14" s="2">
        <v>23.275961784395449</v>
      </c>
      <c r="G14" s="25">
        <v>1.1637980892197725E-2</v>
      </c>
      <c r="I14" s="48" t="s">
        <v>42</v>
      </c>
      <c r="J14" s="46">
        <v>2000</v>
      </c>
      <c r="M14" s="65">
        <f>AVERAGE(G21:G30)</f>
        <v>1.2697753586312333E-2</v>
      </c>
    </row>
    <row r="15" spans="2:13" ht="16" thickBot="1" x14ac:dyDescent="0.4">
      <c r="D15" s="24">
        <v>20</v>
      </c>
      <c r="E15" s="2">
        <v>2000</v>
      </c>
      <c r="F15" s="2">
        <v>23.408758191329326</v>
      </c>
      <c r="G15" s="25">
        <v>1.1704379095664663E-2</v>
      </c>
      <c r="I15" s="49" t="s">
        <v>23</v>
      </c>
      <c r="J15" s="38">
        <f>J14*J13</f>
        <v>41.383377337609829</v>
      </c>
      <c r="M15" s="65">
        <f>AVERAGE(G31:G40)</f>
        <v>1.4938595275720556E-2</v>
      </c>
    </row>
    <row r="16" spans="2:13" ht="15.5" x14ac:dyDescent="0.35">
      <c r="D16" s="24">
        <v>21</v>
      </c>
      <c r="E16" s="2">
        <v>2000</v>
      </c>
      <c r="F16" s="2">
        <v>23.471515207612885</v>
      </c>
      <c r="G16" s="25">
        <v>1.1735757603806442E-2</v>
      </c>
      <c r="M16" s="65">
        <f>AVERAGE(G41:G50)</f>
        <v>2.2156486025220433E-2</v>
      </c>
    </row>
    <row r="17" spans="4:13" ht="16" thickBot="1" x14ac:dyDescent="0.4">
      <c r="D17" s="24">
        <v>22</v>
      </c>
      <c r="E17" s="2">
        <v>2000</v>
      </c>
      <c r="F17" s="2">
        <v>23.634052531568326</v>
      </c>
      <c r="G17" s="25">
        <v>1.1817026265784163E-2</v>
      </c>
      <c r="M17" s="65">
        <f>AVERAGE(G51:G60)</f>
        <v>4.0090072579605181E-2</v>
      </c>
    </row>
    <row r="18" spans="4:13" ht="16" thickBot="1" x14ac:dyDescent="0.4">
      <c r="D18" s="24">
        <v>23</v>
      </c>
      <c r="E18" s="2">
        <v>2000</v>
      </c>
      <c r="F18" s="2">
        <v>23.741210378366073</v>
      </c>
      <c r="G18" s="25">
        <v>1.1870605189183037E-2</v>
      </c>
      <c r="I18" s="64" t="s">
        <v>55</v>
      </c>
    </row>
    <row r="19" spans="4:13" ht="15.5" x14ac:dyDescent="0.35">
      <c r="D19" s="24">
        <v>24</v>
      </c>
      <c r="E19" s="2">
        <v>2000</v>
      </c>
      <c r="F19" s="2">
        <v>23.989514480055419</v>
      </c>
      <c r="G19" s="25">
        <v>1.199475724002771E-2</v>
      </c>
      <c r="I19" s="269" t="s">
        <v>41</v>
      </c>
      <c r="J19" s="41" t="s">
        <v>43</v>
      </c>
      <c r="K19" s="33">
        <f>AVERAGE(G13:G30)</f>
        <v>1.2297195405398569E-2</v>
      </c>
    </row>
    <row r="20" spans="4:13" ht="15.5" x14ac:dyDescent="0.35">
      <c r="D20" s="24">
        <v>25</v>
      </c>
      <c r="E20" s="2">
        <v>2000</v>
      </c>
      <c r="F20" s="2">
        <v>24.035718729271402</v>
      </c>
      <c r="G20" s="25">
        <v>1.2017859364635701E-2</v>
      </c>
      <c r="I20" s="270"/>
      <c r="J20" s="42" t="s">
        <v>44</v>
      </c>
      <c r="K20" s="34">
        <f>AVERAGE(G31:G45)</f>
        <v>1.6347369150025565E-2</v>
      </c>
    </row>
    <row r="21" spans="4:13" ht="16" thickBot="1" x14ac:dyDescent="0.4">
      <c r="D21" s="24">
        <v>26</v>
      </c>
      <c r="E21" s="2">
        <v>2000</v>
      </c>
      <c r="F21" s="2">
        <v>24.267298571620152</v>
      </c>
      <c r="G21" s="25">
        <v>1.2133649285810077E-2</v>
      </c>
      <c r="I21" s="271"/>
      <c r="J21" s="43" t="s">
        <v>45</v>
      </c>
      <c r="K21" s="39">
        <f>AVERAGE(G46:G60)</f>
        <v>3.5109400103671883E-2</v>
      </c>
    </row>
    <row r="22" spans="4:13" ht="16" thickBot="1" x14ac:dyDescent="0.4">
      <c r="D22" s="24">
        <v>27</v>
      </c>
      <c r="E22" s="2">
        <v>2000</v>
      </c>
      <c r="F22" s="2">
        <v>24.402393753993756</v>
      </c>
      <c r="G22" s="25">
        <v>1.2201196876996879E-2</v>
      </c>
      <c r="I22" s="35" t="s">
        <v>42</v>
      </c>
      <c r="J22" s="44">
        <v>2000</v>
      </c>
      <c r="K22" s="36"/>
    </row>
    <row r="23" spans="4:13" ht="15.5" x14ac:dyDescent="0.35">
      <c r="D23" s="24">
        <v>28</v>
      </c>
      <c r="E23" s="2">
        <v>2000</v>
      </c>
      <c r="F23" s="2">
        <v>24.652797614706923</v>
      </c>
      <c r="G23" s="25">
        <v>1.2326398807353462E-2</v>
      </c>
      <c r="I23" s="269" t="s">
        <v>23</v>
      </c>
      <c r="J23" s="41" t="s">
        <v>43</v>
      </c>
      <c r="K23" s="40">
        <f>2000*K19</f>
        <v>24.594390810797137</v>
      </c>
    </row>
    <row r="24" spans="4:13" ht="15.5" x14ac:dyDescent="0.35">
      <c r="D24" s="24">
        <v>29</v>
      </c>
      <c r="E24" s="2">
        <v>2000</v>
      </c>
      <c r="F24" s="2">
        <v>24.856807091505889</v>
      </c>
      <c r="G24" s="25">
        <v>1.2428403545752944E-2</v>
      </c>
      <c r="I24" s="270"/>
      <c r="J24" s="42" t="s">
        <v>44</v>
      </c>
      <c r="K24" s="37">
        <f t="shared" ref="K24:K25" si="0">2000*K20</f>
        <v>32.694738300051128</v>
      </c>
    </row>
    <row r="25" spans="4:13" ht="16" thickBot="1" x14ac:dyDescent="0.4">
      <c r="D25" s="24">
        <v>30</v>
      </c>
      <c r="E25" s="2">
        <v>2000</v>
      </c>
      <c r="F25" s="2">
        <v>25.16487034422919</v>
      </c>
      <c r="G25" s="25">
        <v>1.2582435172114595E-2</v>
      </c>
      <c r="I25" s="271"/>
      <c r="J25" s="43" t="s">
        <v>45</v>
      </c>
      <c r="K25" s="38">
        <f t="shared" si="0"/>
        <v>70.218800207343762</v>
      </c>
    </row>
    <row r="26" spans="4:13" ht="15.5" x14ac:dyDescent="0.35">
      <c r="D26" s="24">
        <v>31</v>
      </c>
      <c r="E26" s="2">
        <v>2000</v>
      </c>
      <c r="F26" s="2">
        <v>25.278925455956742</v>
      </c>
      <c r="G26" s="25">
        <v>1.2639462727978371E-2</v>
      </c>
    </row>
    <row r="27" spans="4:13" ht="16" thickBot="1" x14ac:dyDescent="0.4">
      <c r="D27" s="24">
        <v>32</v>
      </c>
      <c r="E27" s="2">
        <v>2000</v>
      </c>
      <c r="F27" s="2">
        <v>26.06550327560635</v>
      </c>
      <c r="G27" s="25">
        <v>1.3032751637803175E-2</v>
      </c>
    </row>
    <row r="28" spans="4:13" ht="16" thickBot="1" x14ac:dyDescent="0.4">
      <c r="D28" s="24">
        <v>33</v>
      </c>
      <c r="E28" s="2">
        <v>2000</v>
      </c>
      <c r="F28" s="2">
        <v>26.203221263816342</v>
      </c>
      <c r="G28" s="25">
        <v>1.3101610631908171E-2</v>
      </c>
      <c r="I28" s="64" t="s">
        <v>56</v>
      </c>
    </row>
    <row r="29" spans="4:13" ht="15.5" x14ac:dyDescent="0.35">
      <c r="D29" s="24">
        <v>34</v>
      </c>
      <c r="E29" s="2">
        <v>2000</v>
      </c>
      <c r="F29" s="2">
        <v>26.308925842706099</v>
      </c>
      <c r="G29" s="25">
        <v>1.315446292135305E-2</v>
      </c>
      <c r="I29" s="269" t="s">
        <v>41</v>
      </c>
      <c r="J29" s="69" t="s">
        <v>57</v>
      </c>
      <c r="K29" s="66">
        <f>AVERAGE(G13:G35)</f>
        <v>1.2678721910959522E-2</v>
      </c>
    </row>
    <row r="30" spans="4:13" ht="15.5" x14ac:dyDescent="0.35">
      <c r="D30" s="24">
        <v>35</v>
      </c>
      <c r="E30" s="2">
        <v>2000</v>
      </c>
      <c r="F30" s="2">
        <v>26.7543285121052</v>
      </c>
      <c r="G30" s="25">
        <v>1.33771642560526E-2</v>
      </c>
      <c r="I30" s="270"/>
      <c r="J30" s="70" t="s">
        <v>58</v>
      </c>
      <c r="K30" s="67">
        <f>AVERAGE(G36:G50)</f>
        <v>2.004598175696768E-2</v>
      </c>
    </row>
    <row r="31" spans="4:13" ht="15.5" x14ac:dyDescent="0.35">
      <c r="D31" s="24">
        <v>36</v>
      </c>
      <c r="E31" s="2">
        <v>2000</v>
      </c>
      <c r="F31" s="2">
        <v>27.062004763505652</v>
      </c>
      <c r="G31" s="25">
        <v>1.3531002381752826E-2</v>
      </c>
      <c r="I31" s="270"/>
      <c r="J31" s="70" t="s">
        <v>59</v>
      </c>
      <c r="K31" s="67">
        <f>AVERAGE(G51:G55)</f>
        <v>3.3610444815481706E-2</v>
      </c>
    </row>
    <row r="32" spans="4:13" ht="16" thickBot="1" x14ac:dyDescent="0.4">
      <c r="D32" s="24">
        <v>37</v>
      </c>
      <c r="E32" s="2">
        <v>2000</v>
      </c>
      <c r="F32" s="2">
        <v>27.523736670449619</v>
      </c>
      <c r="G32" s="25">
        <v>1.376186833522481E-2</v>
      </c>
      <c r="I32" s="270"/>
      <c r="J32" s="71" t="s">
        <v>60</v>
      </c>
      <c r="K32" s="68">
        <f>AVERAGE(G56:G60)</f>
        <v>4.6569700343728641E-2</v>
      </c>
    </row>
    <row r="33" spans="4:11" ht="16" thickBot="1" x14ac:dyDescent="0.4">
      <c r="D33" s="24">
        <v>38</v>
      </c>
      <c r="E33" s="2">
        <v>2000</v>
      </c>
      <c r="F33" s="2">
        <v>28.332463099310885</v>
      </c>
      <c r="G33" s="25">
        <v>1.4166231549655442E-2</v>
      </c>
      <c r="I33" s="76" t="s">
        <v>42</v>
      </c>
      <c r="J33" s="72">
        <v>2000</v>
      </c>
      <c r="K33" s="40"/>
    </row>
    <row r="34" spans="4:11" ht="15.5" x14ac:dyDescent="0.35">
      <c r="D34" s="24">
        <v>39</v>
      </c>
      <c r="E34" s="2">
        <v>2000</v>
      </c>
      <c r="F34" s="2">
        <v>28.42373722634802</v>
      </c>
      <c r="G34" s="25">
        <v>1.4211868613174011E-2</v>
      </c>
      <c r="I34" s="275" t="s">
        <v>23</v>
      </c>
      <c r="J34" s="69" t="s">
        <v>57</v>
      </c>
      <c r="K34" s="73">
        <f>$J$33*K29</f>
        <v>25.357443821919045</v>
      </c>
    </row>
    <row r="35" spans="4:11" ht="15.5" x14ac:dyDescent="0.35">
      <c r="D35" s="24">
        <v>40</v>
      </c>
      <c r="E35" s="2">
        <v>2000</v>
      </c>
      <c r="F35" s="2">
        <v>29.18023155017524</v>
      </c>
      <c r="G35" s="25">
        <v>1.459011577508762E-2</v>
      </c>
      <c r="I35" s="276"/>
      <c r="J35" s="70" t="s">
        <v>58</v>
      </c>
      <c r="K35" s="74">
        <f t="shared" ref="K35:K37" si="1">$J$33*K30</f>
        <v>40.091963513935362</v>
      </c>
    </row>
    <row r="36" spans="4:11" ht="15.5" x14ac:dyDescent="0.35">
      <c r="D36" s="24">
        <v>41</v>
      </c>
      <c r="E36" s="2">
        <v>2000</v>
      </c>
      <c r="F36" s="2">
        <v>29.95464493272074</v>
      </c>
      <c r="G36" s="25">
        <v>1.497732246636037E-2</v>
      </c>
      <c r="I36" s="276"/>
      <c r="J36" s="70" t="s">
        <v>59</v>
      </c>
      <c r="K36" s="74">
        <f t="shared" si="1"/>
        <v>67.220889630963413</v>
      </c>
    </row>
    <row r="37" spans="4:11" ht="16" thickBot="1" x14ac:dyDescent="0.4">
      <c r="D37" s="24">
        <v>42</v>
      </c>
      <c r="E37" s="2">
        <v>2000</v>
      </c>
      <c r="F37" s="2">
        <v>30.641917662639585</v>
      </c>
      <c r="G37" s="25">
        <v>1.5320958831319793E-2</v>
      </c>
      <c r="I37" s="277"/>
      <c r="J37" s="75" t="s">
        <v>60</v>
      </c>
      <c r="K37" s="77">
        <f t="shared" si="1"/>
        <v>93.139400687457282</v>
      </c>
    </row>
    <row r="38" spans="4:11" ht="15.5" x14ac:dyDescent="0.35">
      <c r="D38" s="24">
        <v>43</v>
      </c>
      <c r="E38" s="2">
        <v>2000</v>
      </c>
      <c r="F38" s="2">
        <v>31.587368269236151</v>
      </c>
      <c r="G38" s="25">
        <v>1.5793684134618076E-2</v>
      </c>
    </row>
    <row r="39" spans="4:11" ht="15.5" x14ac:dyDescent="0.35">
      <c r="D39" s="24">
        <v>44</v>
      </c>
      <c r="E39" s="2">
        <v>2000</v>
      </c>
      <c r="F39" s="2">
        <v>32.362803543794165</v>
      </c>
      <c r="G39" s="25">
        <v>1.6181401771897082E-2</v>
      </c>
    </row>
    <row r="40" spans="4:11" ht="15.5" x14ac:dyDescent="0.35">
      <c r="D40" s="24">
        <v>45</v>
      </c>
      <c r="E40" s="2">
        <v>2000</v>
      </c>
      <c r="F40" s="2">
        <v>33.702997796231095</v>
      </c>
      <c r="G40" s="25">
        <v>1.6851498898115547E-2</v>
      </c>
    </row>
    <row r="41" spans="4:11" ht="15.5" x14ac:dyDescent="0.35">
      <c r="D41" s="24">
        <v>46</v>
      </c>
      <c r="E41" s="2">
        <v>2000</v>
      </c>
      <c r="F41" s="2">
        <v>34.70664315288338</v>
      </c>
      <c r="G41" s="25">
        <v>1.7353321576441691E-2</v>
      </c>
    </row>
    <row r="42" spans="4:11" ht="15.5" x14ac:dyDescent="0.35">
      <c r="D42" s="24">
        <v>47</v>
      </c>
      <c r="E42" s="2">
        <v>2000</v>
      </c>
      <c r="F42" s="2">
        <v>36.516142263302754</v>
      </c>
      <c r="G42" s="25">
        <v>1.8258071131651378E-2</v>
      </c>
    </row>
    <row r="43" spans="4:11" ht="15.5" x14ac:dyDescent="0.35">
      <c r="D43" s="24">
        <v>48</v>
      </c>
      <c r="E43" s="2">
        <v>2000</v>
      </c>
      <c r="F43" s="2">
        <v>38.169951405988783</v>
      </c>
      <c r="G43" s="25">
        <v>1.9084975702994392E-2</v>
      </c>
    </row>
    <row r="44" spans="4:11" ht="15.5" x14ac:dyDescent="0.35">
      <c r="D44" s="24">
        <v>49</v>
      </c>
      <c r="E44" s="2">
        <v>2000</v>
      </c>
      <c r="F44" s="2">
        <v>39.857690763433524</v>
      </c>
      <c r="G44" s="25">
        <v>1.9928845381716763E-2</v>
      </c>
    </row>
    <row r="45" spans="4:11" ht="15.5" x14ac:dyDescent="0.35">
      <c r="D45" s="24">
        <v>50</v>
      </c>
      <c r="E45" s="2">
        <v>2000</v>
      </c>
      <c r="F45" s="2">
        <v>42.39874140074734</v>
      </c>
      <c r="G45" s="25">
        <v>2.1199370700373671E-2</v>
      </c>
    </row>
    <row r="46" spans="4:11" ht="15.5" x14ac:dyDescent="0.35">
      <c r="D46" s="24">
        <v>51</v>
      </c>
      <c r="E46" s="2">
        <v>2000</v>
      </c>
      <c r="F46" s="2">
        <v>44.79685734899946</v>
      </c>
      <c r="G46" s="25">
        <v>2.2398428674499728E-2</v>
      </c>
    </row>
    <row r="47" spans="4:11" ht="15.5" x14ac:dyDescent="0.35">
      <c r="D47" s="24">
        <v>52</v>
      </c>
      <c r="E47" s="2">
        <v>2000</v>
      </c>
      <c r="F47" s="2">
        <v>46.543337312268264</v>
      </c>
      <c r="G47" s="25">
        <v>2.3271668656134132E-2</v>
      </c>
    </row>
    <row r="48" spans="4:11" ht="15.5" x14ac:dyDescent="0.35">
      <c r="D48" s="24">
        <v>53</v>
      </c>
      <c r="E48" s="2">
        <v>2000</v>
      </c>
      <c r="F48" s="2">
        <v>49.703182931389328</v>
      </c>
      <c r="G48" s="25">
        <v>2.4851591465694663E-2</v>
      </c>
    </row>
    <row r="49" spans="4:7" ht="15.5" x14ac:dyDescent="0.35">
      <c r="D49" s="24">
        <v>54</v>
      </c>
      <c r="E49" s="2">
        <v>2000</v>
      </c>
      <c r="F49" s="2">
        <v>53.34164350059757</v>
      </c>
      <c r="G49" s="25">
        <v>2.6670821750298786E-2</v>
      </c>
    </row>
    <row r="50" spans="4:7" ht="15.5" x14ac:dyDescent="0.35">
      <c r="D50" s="24">
        <v>55</v>
      </c>
      <c r="E50" s="2">
        <v>2000</v>
      </c>
      <c r="F50" s="2">
        <v>57.095530424798255</v>
      </c>
      <c r="G50" s="25">
        <v>2.8547765212399129E-2</v>
      </c>
    </row>
    <row r="51" spans="4:7" ht="15.5" x14ac:dyDescent="0.35">
      <c r="D51" s="24">
        <v>56</v>
      </c>
      <c r="E51" s="2">
        <v>2000</v>
      </c>
      <c r="F51" s="2">
        <v>59.040356583013036</v>
      </c>
      <c r="G51" s="25">
        <v>2.9520178291506518E-2</v>
      </c>
    </row>
    <row r="52" spans="4:7" ht="15.5" x14ac:dyDescent="0.35">
      <c r="D52" s="24">
        <v>57</v>
      </c>
      <c r="E52" s="2">
        <v>2000</v>
      </c>
      <c r="F52" s="2">
        <v>62.632757321455429</v>
      </c>
      <c r="G52" s="25">
        <v>3.1316378660727714E-2</v>
      </c>
    </row>
    <row r="53" spans="4:7" ht="15.5" x14ac:dyDescent="0.35">
      <c r="D53" s="24">
        <v>58</v>
      </c>
      <c r="E53" s="2">
        <v>2000</v>
      </c>
      <c r="F53" s="2">
        <v>66.412256914609799</v>
      </c>
      <c r="G53" s="25">
        <v>3.3206128457304897E-2</v>
      </c>
    </row>
    <row r="54" spans="4:7" ht="15.5" x14ac:dyDescent="0.35">
      <c r="D54" s="24">
        <v>59</v>
      </c>
      <c r="E54" s="2">
        <v>2000</v>
      </c>
      <c r="F54" s="2">
        <v>71.949633544171746</v>
      </c>
      <c r="G54" s="25">
        <v>3.5974816772085874E-2</v>
      </c>
    </row>
    <row r="55" spans="4:7" ht="15.5" x14ac:dyDescent="0.35">
      <c r="D55" s="24">
        <v>60</v>
      </c>
      <c r="E55" s="2">
        <v>2000</v>
      </c>
      <c r="F55" s="2">
        <v>76.069443791567068</v>
      </c>
      <c r="G55" s="25">
        <v>3.8034721895783531E-2</v>
      </c>
    </row>
    <row r="56" spans="4:7" ht="15.5" x14ac:dyDescent="0.35">
      <c r="D56" s="24">
        <v>61</v>
      </c>
      <c r="E56" s="2">
        <v>2000</v>
      </c>
      <c r="F56" s="2">
        <v>79.174672862746178</v>
      </c>
      <c r="G56" s="25">
        <v>3.9587336431373091E-2</v>
      </c>
    </row>
    <row r="57" spans="4:7" ht="15.5" x14ac:dyDescent="0.35">
      <c r="D57" s="24">
        <v>62</v>
      </c>
      <c r="E57" s="2">
        <v>2000</v>
      </c>
      <c r="F57" s="2">
        <v>86.391165287788326</v>
      </c>
      <c r="G57" s="25">
        <v>4.3195582643894163E-2</v>
      </c>
    </row>
    <row r="58" spans="4:7" ht="15.5" x14ac:dyDescent="0.35">
      <c r="D58" s="24">
        <v>63</v>
      </c>
      <c r="E58" s="2">
        <v>2000</v>
      </c>
      <c r="F58" s="2">
        <v>91.409864883511744</v>
      </c>
      <c r="G58" s="25">
        <v>4.5704932441755872E-2</v>
      </c>
    </row>
    <row r="59" spans="4:7" ht="15.5" x14ac:dyDescent="0.35">
      <c r="D59" s="24">
        <v>64</v>
      </c>
      <c r="E59" s="2">
        <v>2000</v>
      </c>
      <c r="F59" s="2">
        <v>100.076378257364</v>
      </c>
      <c r="G59" s="25">
        <v>5.0038189128681999E-2</v>
      </c>
    </row>
    <row r="60" spans="4:7" ht="16" thickBot="1" x14ac:dyDescent="0.4">
      <c r="D60" s="26">
        <v>65</v>
      </c>
      <c r="E60" s="27">
        <v>2000</v>
      </c>
      <c r="F60" s="27">
        <v>108.64492214587617</v>
      </c>
      <c r="G60" s="28">
        <v>5.4322461072938082E-2</v>
      </c>
    </row>
  </sheetData>
  <mergeCells count="5">
    <mergeCell ref="I19:I21"/>
    <mergeCell ref="I23:I25"/>
    <mergeCell ref="I29:I32"/>
    <mergeCell ref="I34:I37"/>
    <mergeCell ref="E3:K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Y38"/>
  <sheetViews>
    <sheetView topLeftCell="A10" zoomScaleNormal="100" workbookViewId="0">
      <selection activeCell="I27" sqref="I27"/>
    </sheetView>
  </sheetViews>
  <sheetFormatPr defaultRowHeight="14.5" x14ac:dyDescent="0.35"/>
  <cols>
    <col min="2" max="2" width="13.54296875" bestFit="1" customWidth="1"/>
    <col min="4" max="4" width="16.7265625" customWidth="1"/>
    <col min="5" max="5" width="15.453125" customWidth="1"/>
    <col min="6" max="6" width="16.7265625" bestFit="1" customWidth="1"/>
    <col min="7" max="7" width="14.1796875" bestFit="1" customWidth="1"/>
    <col min="13" max="13" width="11.54296875" customWidth="1"/>
    <col min="14" max="14" width="11.453125" customWidth="1"/>
    <col min="15" max="15" width="13.26953125" customWidth="1"/>
    <col min="16" max="16" width="12.7265625" customWidth="1"/>
    <col min="17" max="17" width="14.453125" customWidth="1"/>
    <col min="18" max="18" width="10.7265625" customWidth="1"/>
    <col min="20" max="20" width="10.7265625" customWidth="1"/>
  </cols>
  <sheetData>
    <row r="1" spans="2:21" ht="15" thickBot="1" x14ac:dyDescent="0.4"/>
    <row r="2" spans="2:21" ht="15" thickBot="1" x14ac:dyDescent="0.4">
      <c r="C2" s="289" t="s">
        <v>53</v>
      </c>
      <c r="D2" s="290"/>
      <c r="E2" s="290"/>
      <c r="F2" s="290"/>
      <c r="G2" s="290"/>
      <c r="H2" s="290"/>
      <c r="I2" s="290"/>
      <c r="J2" s="291"/>
    </row>
    <row r="4" spans="2:21" x14ac:dyDescent="0.35">
      <c r="D4" s="50" t="s">
        <v>47</v>
      </c>
      <c r="E4" s="50">
        <v>2017</v>
      </c>
    </row>
    <row r="5" spans="2:21" x14ac:dyDescent="0.35">
      <c r="D5" s="50" t="s">
        <v>48</v>
      </c>
    </row>
    <row r="6" spans="2:21" ht="15" thickBot="1" x14ac:dyDescent="0.4"/>
    <row r="7" spans="2:21" ht="18" thickBot="1" x14ac:dyDescent="0.4">
      <c r="B7" t="s">
        <v>112</v>
      </c>
      <c r="D7" s="56" t="s">
        <v>49</v>
      </c>
      <c r="E7" s="57" t="s">
        <v>50</v>
      </c>
      <c r="F7" s="57" t="s">
        <v>46</v>
      </c>
      <c r="G7" s="287" t="s">
        <v>51</v>
      </c>
      <c r="H7" s="288"/>
      <c r="K7" s="284" t="s">
        <v>75</v>
      </c>
      <c r="L7" s="285"/>
      <c r="M7" s="285"/>
      <c r="N7" s="285"/>
      <c r="O7" s="285"/>
      <c r="P7" s="285"/>
      <c r="Q7" s="285"/>
      <c r="R7" s="285"/>
      <c r="S7" s="285"/>
      <c r="T7" s="285"/>
      <c r="U7" s="286"/>
    </row>
    <row r="8" spans="2:21" ht="18" thickBot="1" x14ac:dyDescent="0.4">
      <c r="D8" s="58">
        <v>6613691.6100000003</v>
      </c>
      <c r="E8" s="59">
        <v>849243.89000000036</v>
      </c>
      <c r="F8" s="59">
        <v>748090.96999998705</v>
      </c>
      <c r="G8" s="59">
        <f>E8-F8</f>
        <v>101152.92000001331</v>
      </c>
      <c r="H8" s="60">
        <f>G8/D8</f>
        <v>1.5294471826758386E-2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2:21" ht="42.5" thickBot="1" x14ac:dyDescent="0.4">
      <c r="K9" s="81" t="s">
        <v>36</v>
      </c>
      <c r="L9" s="82" t="s">
        <v>63</v>
      </c>
      <c r="M9" s="83" t="s">
        <v>22</v>
      </c>
      <c r="N9" s="83" t="s">
        <v>64</v>
      </c>
      <c r="O9" s="83" t="s">
        <v>65</v>
      </c>
      <c r="P9" s="83" t="s">
        <v>61</v>
      </c>
      <c r="Q9" s="83" t="s">
        <v>62</v>
      </c>
      <c r="R9" s="83" t="s">
        <v>66</v>
      </c>
      <c r="S9" s="83" t="s">
        <v>67</v>
      </c>
      <c r="T9" s="83" t="s">
        <v>68</v>
      </c>
      <c r="U9" s="84" t="s">
        <v>69</v>
      </c>
    </row>
    <row r="10" spans="2:21" ht="15" thickBot="1" x14ac:dyDescent="0.4">
      <c r="K10" s="89" t="s">
        <v>70</v>
      </c>
      <c r="L10" s="86">
        <v>4116</v>
      </c>
      <c r="M10" s="92">
        <v>240929.47999999998</v>
      </c>
      <c r="N10" s="92">
        <v>210916.71243392397</v>
      </c>
      <c r="O10" s="92">
        <f>M10-N10</f>
        <v>30012.767566076014</v>
      </c>
      <c r="P10" s="98">
        <f>(T10+U10)/M10</f>
        <v>0</v>
      </c>
      <c r="Q10" s="98">
        <f>(T10+U10)/O10</f>
        <v>0</v>
      </c>
      <c r="R10" s="92">
        <v>1</v>
      </c>
      <c r="S10" s="92">
        <v>0</v>
      </c>
      <c r="T10" s="92">
        <v>0</v>
      </c>
      <c r="U10" s="101">
        <v>0</v>
      </c>
    </row>
    <row r="11" spans="2:21" x14ac:dyDescent="0.35">
      <c r="B11" t="s">
        <v>113</v>
      </c>
      <c r="D11" s="56" t="s">
        <v>49</v>
      </c>
      <c r="E11" s="57" t="s">
        <v>50</v>
      </c>
      <c r="F11" s="57" t="s">
        <v>46</v>
      </c>
      <c r="G11" s="287" t="s">
        <v>51</v>
      </c>
      <c r="H11" s="288"/>
      <c r="K11" s="90" t="s">
        <v>71</v>
      </c>
      <c r="L11" s="87">
        <v>25228</v>
      </c>
      <c r="M11" s="93">
        <v>1477896.92</v>
      </c>
      <c r="N11" s="93">
        <v>1301199.2748327977</v>
      </c>
      <c r="O11" s="93">
        <f t="shared" ref="O11:O15" si="0">M11-N11</f>
        <v>176697.64516720222</v>
      </c>
      <c r="P11" s="99">
        <f t="shared" ref="P11:P15" si="1">(T11+U11)/M11</f>
        <v>1.6775256558488531E-3</v>
      </c>
      <c r="Q11" s="99">
        <f t="shared" ref="Q11:Q15" si="2">(T11+U11)/O11</f>
        <v>1.4030803849445862E-2</v>
      </c>
      <c r="R11" s="93">
        <v>6</v>
      </c>
      <c r="S11" s="93">
        <v>1</v>
      </c>
      <c r="T11" s="93">
        <v>2479.21</v>
      </c>
      <c r="U11" s="91">
        <v>0</v>
      </c>
    </row>
    <row r="12" spans="2:21" ht="15" thickBot="1" x14ac:dyDescent="0.4">
      <c r="D12" s="61">
        <v>7941574</v>
      </c>
      <c r="E12" s="59">
        <v>1179630.56</v>
      </c>
      <c r="F12" s="59">
        <v>1040667.4299999775</v>
      </c>
      <c r="G12" s="59">
        <f>E12-F12</f>
        <v>138963.13000002259</v>
      </c>
      <c r="H12" s="60">
        <f>G12/D12</f>
        <v>1.7498184868644753E-2</v>
      </c>
      <c r="K12" s="90" t="s">
        <v>72</v>
      </c>
      <c r="L12" s="87">
        <v>24081</v>
      </c>
      <c r="M12" s="93">
        <v>1489103.0900000003</v>
      </c>
      <c r="N12" s="93">
        <v>1319508.9606565915</v>
      </c>
      <c r="O12" s="93">
        <f t="shared" si="0"/>
        <v>169594.12934340886</v>
      </c>
      <c r="P12" s="99">
        <f t="shared" si="1"/>
        <v>7.477574974342439E-3</v>
      </c>
      <c r="Q12" s="99">
        <f t="shared" si="2"/>
        <v>6.5656046250593569E-2</v>
      </c>
      <c r="R12" s="93">
        <v>30</v>
      </c>
      <c r="S12" s="93">
        <v>2</v>
      </c>
      <c r="T12" s="93">
        <v>9236.73</v>
      </c>
      <c r="U12" s="91">
        <v>1898.15</v>
      </c>
    </row>
    <row r="13" spans="2:21" ht="15" thickBot="1" x14ac:dyDescent="0.4">
      <c r="K13" s="90" t="s">
        <v>73</v>
      </c>
      <c r="L13" s="87">
        <v>32232</v>
      </c>
      <c r="M13" s="93">
        <v>2083308.6400000001</v>
      </c>
      <c r="N13" s="93">
        <v>1853596.2542152689</v>
      </c>
      <c r="O13" s="93">
        <f t="shared" si="0"/>
        <v>229712.38578473125</v>
      </c>
      <c r="P13" s="99">
        <f t="shared" si="1"/>
        <v>8.5000655495769458E-3</v>
      </c>
      <c r="Q13" s="99">
        <f t="shared" si="2"/>
        <v>7.7088834106641593E-2</v>
      </c>
      <c r="R13" s="93">
        <v>102</v>
      </c>
      <c r="S13" s="93">
        <v>6</v>
      </c>
      <c r="T13" s="93">
        <v>15845.43</v>
      </c>
      <c r="U13" s="91">
        <v>1862.83</v>
      </c>
    </row>
    <row r="14" spans="2:21" x14ac:dyDescent="0.35">
      <c r="B14" t="s">
        <v>114</v>
      </c>
      <c r="D14" s="56" t="s">
        <v>49</v>
      </c>
      <c r="E14" s="57" t="s">
        <v>50</v>
      </c>
      <c r="F14" s="57" t="s">
        <v>46</v>
      </c>
      <c r="G14" s="287" t="s">
        <v>51</v>
      </c>
      <c r="H14" s="288"/>
      <c r="K14" s="90" t="s">
        <v>74</v>
      </c>
      <c r="L14" s="87">
        <v>58391</v>
      </c>
      <c r="M14" s="93">
        <v>3663925.35</v>
      </c>
      <c r="N14" s="93">
        <v>3270972.6795626609</v>
      </c>
      <c r="O14" s="93">
        <f t="shared" si="0"/>
        <v>392952.67043733923</v>
      </c>
      <c r="P14" s="99">
        <f t="shared" si="1"/>
        <v>2.4320364496509188E-2</v>
      </c>
      <c r="Q14" s="99">
        <f t="shared" si="2"/>
        <v>0.22676522315226075</v>
      </c>
      <c r="R14" s="93">
        <v>435</v>
      </c>
      <c r="S14" s="93">
        <v>4</v>
      </c>
      <c r="T14" s="93">
        <v>88202.91</v>
      </c>
      <c r="U14" s="91">
        <v>905.08999999999992</v>
      </c>
    </row>
    <row r="15" spans="2:21" ht="15" thickBot="1" x14ac:dyDescent="0.4">
      <c r="D15" s="61">
        <v>131857002.58536771</v>
      </c>
      <c r="E15" s="59">
        <v>19971038.519999869</v>
      </c>
      <c r="F15" s="59">
        <v>17939826.016935565</v>
      </c>
      <c r="G15" s="59">
        <f>E15-F15</f>
        <v>2031212.5030643046</v>
      </c>
      <c r="H15" s="60">
        <f>G15/D15</f>
        <v>1.5404661589734256E-2</v>
      </c>
      <c r="K15" s="85"/>
      <c r="L15" s="88">
        <f>SUM(L10:L14)</f>
        <v>144048</v>
      </c>
      <c r="M15" s="94">
        <f>SUM(M10:M14)</f>
        <v>8955163.4800000004</v>
      </c>
      <c r="N15" s="94">
        <f>SUM(N10:N14)</f>
        <v>7956193.8817012431</v>
      </c>
      <c r="O15" s="94">
        <f t="shared" si="0"/>
        <v>998969.59829875734</v>
      </c>
      <c r="P15" s="100">
        <f t="shared" si="1"/>
        <v>1.3448146454161661E-2</v>
      </c>
      <c r="Q15" s="100">
        <f t="shared" si="2"/>
        <v>0.12055456963364308</v>
      </c>
      <c r="R15" s="94">
        <f>SUM(R10:R14)</f>
        <v>574</v>
      </c>
      <c r="S15" s="94">
        <v>9</v>
      </c>
      <c r="T15" s="94">
        <f>SUM(T10:T14)</f>
        <v>115764.28</v>
      </c>
      <c r="U15" s="102">
        <f>SUM(U10:U14)</f>
        <v>4666.07</v>
      </c>
    </row>
    <row r="17" spans="7:25" ht="15" thickBot="1" x14ac:dyDescent="0.4"/>
    <row r="18" spans="7:25" ht="15" thickBot="1" x14ac:dyDescent="0.4">
      <c r="G18" s="62" t="s">
        <v>52</v>
      </c>
      <c r="H18" s="63">
        <f>(H8+H12+H15)/3</f>
        <v>1.6065772761712466E-2</v>
      </c>
    </row>
    <row r="21" spans="7:25" x14ac:dyDescent="0.35">
      <c r="L21" s="50">
        <v>651</v>
      </c>
      <c r="M21">
        <v>1037</v>
      </c>
      <c r="N21">
        <v>1117</v>
      </c>
      <c r="O21">
        <v>1311</v>
      </c>
      <c r="P21" s="50">
        <f>L21+M21+N21+O21</f>
        <v>4116</v>
      </c>
      <c r="R21" s="95">
        <v>0</v>
      </c>
      <c r="S21" s="50">
        <v>0</v>
      </c>
      <c r="T21" s="95">
        <v>0</v>
      </c>
      <c r="U21" s="50">
        <v>0</v>
      </c>
      <c r="V21" s="95">
        <v>1</v>
      </c>
      <c r="W21" s="50">
        <v>0</v>
      </c>
      <c r="X21" s="96">
        <f>R21+T21+V21</f>
        <v>1</v>
      </c>
      <c r="Y21" s="97">
        <f>S21+U21+W21</f>
        <v>0</v>
      </c>
    </row>
    <row r="22" spans="7:25" x14ac:dyDescent="0.35">
      <c r="L22" s="50">
        <v>2415</v>
      </c>
      <c r="M22">
        <v>2376</v>
      </c>
      <c r="N22">
        <v>8748</v>
      </c>
      <c r="O22">
        <v>11689</v>
      </c>
      <c r="P22" s="50">
        <f t="shared" ref="P22:P25" si="3">L22+M22+N22+O22</f>
        <v>25228</v>
      </c>
      <c r="R22" s="95">
        <v>1</v>
      </c>
      <c r="S22" s="50">
        <v>0</v>
      </c>
      <c r="T22" s="95">
        <v>1</v>
      </c>
      <c r="U22" s="50">
        <v>0</v>
      </c>
      <c r="V22" s="95">
        <v>4</v>
      </c>
      <c r="W22" s="50">
        <v>1</v>
      </c>
      <c r="X22" s="96">
        <f t="shared" ref="X22:X25" si="4">R22+T22+V22</f>
        <v>6</v>
      </c>
      <c r="Y22" s="97">
        <f t="shared" ref="Y22:Y25" si="5">S22+U22+W22</f>
        <v>1</v>
      </c>
    </row>
    <row r="23" spans="7:25" x14ac:dyDescent="0.35">
      <c r="L23" s="50">
        <v>2101</v>
      </c>
      <c r="M23">
        <v>1585</v>
      </c>
      <c r="N23">
        <v>7911</v>
      </c>
      <c r="O23">
        <v>12484</v>
      </c>
      <c r="P23" s="50">
        <f t="shared" si="3"/>
        <v>24081</v>
      </c>
      <c r="R23" s="95">
        <v>10</v>
      </c>
      <c r="S23" s="50">
        <v>1</v>
      </c>
      <c r="T23" s="95">
        <v>0</v>
      </c>
      <c r="U23" s="50">
        <v>1</v>
      </c>
      <c r="V23" s="95">
        <v>20</v>
      </c>
      <c r="W23" s="50">
        <v>0</v>
      </c>
      <c r="X23" s="96">
        <f t="shared" si="4"/>
        <v>30</v>
      </c>
      <c r="Y23" s="97">
        <f t="shared" si="5"/>
        <v>2</v>
      </c>
    </row>
    <row r="24" spans="7:25" x14ac:dyDescent="0.35">
      <c r="L24" s="50">
        <v>3460</v>
      </c>
      <c r="M24">
        <v>1883</v>
      </c>
      <c r="N24">
        <v>9566</v>
      </c>
      <c r="O24">
        <v>17323</v>
      </c>
      <c r="P24" s="50">
        <f t="shared" si="3"/>
        <v>32232</v>
      </c>
      <c r="R24" s="95">
        <v>14</v>
      </c>
      <c r="S24" s="50">
        <v>2</v>
      </c>
      <c r="T24" s="95">
        <v>5</v>
      </c>
      <c r="U24" s="50">
        <v>0</v>
      </c>
      <c r="V24" s="95">
        <v>83</v>
      </c>
      <c r="W24" s="50">
        <v>4</v>
      </c>
      <c r="X24" s="96">
        <f t="shared" si="4"/>
        <v>102</v>
      </c>
      <c r="Y24" s="97">
        <f t="shared" si="5"/>
        <v>6</v>
      </c>
    </row>
    <row r="25" spans="7:25" x14ac:dyDescent="0.35">
      <c r="L25" s="50">
        <v>10052</v>
      </c>
      <c r="M25">
        <v>4061</v>
      </c>
      <c r="N25">
        <v>14439</v>
      </c>
      <c r="O25">
        <v>29839</v>
      </c>
      <c r="P25" s="50">
        <f t="shared" si="3"/>
        <v>58391</v>
      </c>
      <c r="R25" s="95">
        <v>73</v>
      </c>
      <c r="S25" s="50">
        <v>2</v>
      </c>
      <c r="T25" s="95">
        <v>33</v>
      </c>
      <c r="U25" s="50">
        <v>0</v>
      </c>
      <c r="V25" s="95">
        <v>329</v>
      </c>
      <c r="W25" s="50">
        <v>2</v>
      </c>
      <c r="X25" s="96">
        <f t="shared" si="4"/>
        <v>435</v>
      </c>
      <c r="Y25" s="97">
        <f t="shared" si="5"/>
        <v>4</v>
      </c>
    </row>
    <row r="28" spans="7:25" x14ac:dyDescent="0.35">
      <c r="L28">
        <v>42126</v>
      </c>
      <c r="M28">
        <v>70059.309999999969</v>
      </c>
      <c r="N28">
        <v>92727.44</v>
      </c>
      <c r="O28">
        <v>36016.730000000003</v>
      </c>
      <c r="P28">
        <f>L28+M28+N28+O28</f>
        <v>240929.47999999998</v>
      </c>
      <c r="R28" s="95">
        <v>0</v>
      </c>
      <c r="S28" s="50">
        <v>0</v>
      </c>
      <c r="T28" s="95">
        <v>0</v>
      </c>
      <c r="U28" s="50">
        <v>0</v>
      </c>
      <c r="V28" s="95">
        <v>0</v>
      </c>
      <c r="W28" s="50">
        <v>0</v>
      </c>
      <c r="X28" s="50">
        <f>R28+T28+V28</f>
        <v>0</v>
      </c>
      <c r="Y28" s="50">
        <f>S28+U28+W28</f>
        <v>0</v>
      </c>
    </row>
    <row r="29" spans="7:25" x14ac:dyDescent="0.35">
      <c r="L29">
        <v>160978</v>
      </c>
      <c r="M29">
        <v>175961.19000000003</v>
      </c>
      <c r="N29">
        <v>850058.21</v>
      </c>
      <c r="O29">
        <v>290899.52</v>
      </c>
      <c r="P29">
        <f t="shared" ref="P29:P32" si="6">L29+M29+N29+O29</f>
        <v>1477896.92</v>
      </c>
      <c r="R29" s="95">
        <v>914</v>
      </c>
      <c r="S29" s="50">
        <v>0</v>
      </c>
      <c r="T29" s="95">
        <v>1178.71</v>
      </c>
      <c r="U29" s="50">
        <v>0</v>
      </c>
      <c r="V29" s="95">
        <v>386.5</v>
      </c>
      <c r="W29" s="50">
        <v>0</v>
      </c>
      <c r="X29" s="50">
        <f t="shared" ref="X29:X32" si="7">R29+T29+V29</f>
        <v>2479.21</v>
      </c>
      <c r="Y29" s="50">
        <f t="shared" ref="Y29:Y32" si="8">S29+U29+W29</f>
        <v>0</v>
      </c>
    </row>
    <row r="30" spans="7:25" x14ac:dyDescent="0.35">
      <c r="L30">
        <v>136762.97999999998</v>
      </c>
      <c r="M30">
        <v>132791.84000000005</v>
      </c>
      <c r="N30">
        <v>939350.63</v>
      </c>
      <c r="O30">
        <v>280197.64</v>
      </c>
      <c r="P30">
        <f t="shared" si="6"/>
        <v>1489103.0900000003</v>
      </c>
      <c r="R30" s="95">
        <v>6873.9</v>
      </c>
      <c r="S30" s="50">
        <v>1102.1500000000001</v>
      </c>
      <c r="T30" s="95">
        <v>0</v>
      </c>
      <c r="U30" s="50">
        <v>796</v>
      </c>
      <c r="V30" s="95">
        <v>2362.83</v>
      </c>
      <c r="W30" s="50">
        <v>0</v>
      </c>
      <c r="X30" s="50">
        <f t="shared" si="7"/>
        <v>9236.73</v>
      </c>
      <c r="Y30" s="50">
        <f t="shared" si="8"/>
        <v>1898.15</v>
      </c>
    </row>
    <row r="31" spans="7:25" x14ac:dyDescent="0.35">
      <c r="L31">
        <v>225947.85</v>
      </c>
      <c r="M31">
        <v>167206.49999999997</v>
      </c>
      <c r="N31">
        <v>1338352.44</v>
      </c>
      <c r="O31">
        <v>351801.85</v>
      </c>
      <c r="P31">
        <f t="shared" si="6"/>
        <v>2083308.6400000001</v>
      </c>
      <c r="R31" s="95">
        <v>4219.33</v>
      </c>
      <c r="S31" s="50">
        <v>660</v>
      </c>
      <c r="T31" s="95">
        <v>3035.2799999999997</v>
      </c>
      <c r="U31" s="50">
        <v>0</v>
      </c>
      <c r="V31" s="95">
        <v>8590.82</v>
      </c>
      <c r="W31" s="50">
        <v>1202.83</v>
      </c>
      <c r="X31" s="50">
        <f t="shared" si="7"/>
        <v>15845.43</v>
      </c>
      <c r="Y31" s="50">
        <f t="shared" si="8"/>
        <v>1862.83</v>
      </c>
    </row>
    <row r="32" spans="7:25" x14ac:dyDescent="0.35">
      <c r="L32">
        <v>537583.5</v>
      </c>
      <c r="M32">
        <v>269846.04999999987</v>
      </c>
      <c r="N32">
        <v>2331640.7200000002</v>
      </c>
      <c r="O32">
        <v>524855.07999999996</v>
      </c>
      <c r="P32">
        <f t="shared" si="6"/>
        <v>3663925.35</v>
      </c>
      <c r="R32" s="95">
        <v>37007.51</v>
      </c>
      <c r="S32" s="50">
        <v>476</v>
      </c>
      <c r="T32" s="95">
        <v>24618.160000000003</v>
      </c>
      <c r="U32" s="50">
        <v>0</v>
      </c>
      <c r="V32" s="95">
        <v>26577.239999999998</v>
      </c>
      <c r="W32" s="50">
        <v>429.09</v>
      </c>
      <c r="X32" s="50">
        <f t="shared" si="7"/>
        <v>88202.91</v>
      </c>
      <c r="Y32" s="50">
        <f t="shared" si="8"/>
        <v>905.08999999999992</v>
      </c>
    </row>
    <row r="34" spans="12:16" x14ac:dyDescent="0.35">
      <c r="L34">
        <v>36869.249999999993</v>
      </c>
      <c r="M34">
        <v>61457.699999999983</v>
      </c>
      <c r="N34">
        <v>31279.441999999999</v>
      </c>
      <c r="O34">
        <v>81310.320433924004</v>
      </c>
      <c r="P34">
        <f>L34+M34+N34+O34</f>
        <v>210916.71243392397</v>
      </c>
    </row>
    <row r="35" spans="12:16" x14ac:dyDescent="0.35">
      <c r="L35">
        <v>140275.85000000018</v>
      </c>
      <c r="M35">
        <v>154199.59000000043</v>
      </c>
      <c r="N35">
        <v>254931.09857960301</v>
      </c>
      <c r="O35">
        <v>751792.73625319405</v>
      </c>
      <c r="P35">
        <f t="shared" ref="P35:P38" si="9">L35+M35+N35+O35</f>
        <v>1301199.2748327977</v>
      </c>
    </row>
    <row r="36" spans="12:16" x14ac:dyDescent="0.35">
      <c r="L36">
        <v>119926.05000000032</v>
      </c>
      <c r="M36">
        <v>117509.96000000017</v>
      </c>
      <c r="N36">
        <v>247316.84101297401</v>
      </c>
      <c r="O36">
        <v>834756.10964361695</v>
      </c>
      <c r="P36">
        <f t="shared" si="9"/>
        <v>1319508.9606565915</v>
      </c>
    </row>
    <row r="37" spans="12:16" x14ac:dyDescent="0.35">
      <c r="L37">
        <v>199767.83000000048</v>
      </c>
      <c r="M37">
        <v>148310.51000000024</v>
      </c>
      <c r="N37">
        <v>311461.98721675802</v>
      </c>
      <c r="O37">
        <v>1194055.92699851</v>
      </c>
      <c r="P37">
        <f t="shared" si="9"/>
        <v>1853596.2542152689</v>
      </c>
    </row>
    <row r="38" spans="12:16" x14ac:dyDescent="0.35">
      <c r="L38">
        <v>477818.17999999702</v>
      </c>
      <c r="M38">
        <v>239699.56000000157</v>
      </c>
      <c r="N38">
        <v>467201.84724465199</v>
      </c>
      <c r="O38">
        <v>2086253.0923180101</v>
      </c>
      <c r="P38">
        <f t="shared" si="9"/>
        <v>3270972.6795626609</v>
      </c>
    </row>
  </sheetData>
  <mergeCells count="5">
    <mergeCell ref="K7:U7"/>
    <mergeCell ref="G7:H7"/>
    <mergeCell ref="G11:H11"/>
    <mergeCell ref="G14:H14"/>
    <mergeCell ref="C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S65"/>
  <sheetViews>
    <sheetView topLeftCell="D29" zoomScaleNormal="100" workbookViewId="0">
      <selection activeCell="D45" sqref="D45"/>
    </sheetView>
  </sheetViews>
  <sheetFormatPr defaultRowHeight="14.5" x14ac:dyDescent="0.35"/>
  <cols>
    <col min="3" max="3" width="22.54296875" customWidth="1"/>
    <col min="4" max="4" width="21.7265625" customWidth="1"/>
    <col min="5" max="5" width="24.1796875" customWidth="1"/>
    <col min="6" max="7" width="24.453125" customWidth="1"/>
    <col min="8" max="8" width="25" customWidth="1"/>
    <col min="9" max="9" width="13.81640625" customWidth="1"/>
    <col min="10" max="10" width="12.453125" customWidth="1"/>
    <col min="11" max="11" width="11.453125" customWidth="1"/>
    <col min="12" max="12" width="15.81640625" customWidth="1"/>
    <col min="13" max="13" width="15.1796875" customWidth="1"/>
    <col min="14" max="14" width="12.81640625" customWidth="1"/>
    <col min="15" max="15" width="12.26953125" customWidth="1"/>
    <col min="17" max="17" width="21.1796875" customWidth="1"/>
    <col min="18" max="18" width="19.54296875" customWidth="1"/>
    <col min="19" max="19" width="11.54296875" bestFit="1" customWidth="1"/>
  </cols>
  <sheetData>
    <row r="2" spans="2:18" ht="15" thickBot="1" x14ac:dyDescent="0.4"/>
    <row r="3" spans="2:18" x14ac:dyDescent="0.35">
      <c r="B3" s="138"/>
      <c r="C3" s="138"/>
      <c r="D3" s="298" t="s">
        <v>99</v>
      </c>
      <c r="E3" s="299"/>
      <c r="F3" s="299"/>
      <c r="G3" s="299"/>
      <c r="H3" s="300"/>
    </row>
    <row r="4" spans="2:18" ht="15" thickBot="1" x14ac:dyDescent="0.4">
      <c r="B4" s="138"/>
      <c r="C4" s="138"/>
      <c r="D4" s="301"/>
      <c r="E4" s="302"/>
      <c r="F4" s="302"/>
      <c r="G4" s="302"/>
      <c r="H4" s="303"/>
    </row>
    <row r="5" spans="2:18" x14ac:dyDescent="0.35">
      <c r="B5" s="138"/>
      <c r="C5" s="138"/>
      <c r="D5" s="138"/>
      <c r="E5" s="138"/>
      <c r="F5" s="138"/>
      <c r="G5" s="138"/>
      <c r="H5" s="138"/>
    </row>
    <row r="6" spans="2:18" x14ac:dyDescent="0.35">
      <c r="B6" s="138"/>
      <c r="C6" s="138"/>
      <c r="D6" s="138"/>
      <c r="E6" s="138"/>
      <c r="F6" s="138"/>
      <c r="G6" s="138"/>
      <c r="H6" s="138"/>
    </row>
    <row r="7" spans="2:18" ht="15" thickBot="1" x14ac:dyDescent="0.4">
      <c r="B7" s="138"/>
      <c r="C7" s="138"/>
      <c r="D7" s="138"/>
      <c r="E7" s="138"/>
      <c r="F7" s="138"/>
      <c r="G7" s="138"/>
      <c r="H7" s="138"/>
    </row>
    <row r="8" spans="2:18" ht="15.75" customHeight="1" thickBot="1" x14ac:dyDescent="0.4">
      <c r="B8" s="148" t="s">
        <v>78</v>
      </c>
      <c r="C8" s="304" t="s">
        <v>80</v>
      </c>
      <c r="D8" s="305"/>
      <c r="E8" s="138"/>
      <c r="F8" s="138"/>
      <c r="G8" s="138"/>
      <c r="H8" s="292" t="s">
        <v>103</v>
      </c>
      <c r="I8" s="293"/>
      <c r="J8" s="293"/>
      <c r="K8" s="293"/>
      <c r="L8" s="294"/>
      <c r="M8" s="292" t="s">
        <v>104</v>
      </c>
      <c r="N8" s="293"/>
      <c r="O8" s="293"/>
      <c r="P8" s="293"/>
      <c r="Q8" s="293"/>
      <c r="R8" s="294"/>
    </row>
    <row r="9" spans="2:18" ht="15.75" customHeight="1" thickBot="1" x14ac:dyDescent="0.4">
      <c r="B9" s="149" t="s">
        <v>79</v>
      </c>
      <c r="C9" s="306" t="s">
        <v>81</v>
      </c>
      <c r="D9" s="307"/>
      <c r="E9" s="138"/>
      <c r="F9" s="138"/>
      <c r="G9" s="138"/>
      <c r="H9" s="295"/>
      <c r="I9" s="296"/>
      <c r="J9" s="296"/>
      <c r="K9" s="296"/>
      <c r="L9" s="297"/>
      <c r="M9" s="295"/>
      <c r="N9" s="296"/>
      <c r="O9" s="296"/>
      <c r="P9" s="296"/>
      <c r="Q9" s="296"/>
      <c r="R9" s="297"/>
    </row>
    <row r="10" spans="2:18" ht="15" thickBot="1" x14ac:dyDescent="0.4">
      <c r="B10" s="138"/>
      <c r="C10" s="138"/>
      <c r="D10" s="138"/>
      <c r="E10" s="138"/>
      <c r="F10" s="138"/>
      <c r="G10" s="138"/>
      <c r="H10" s="138"/>
    </row>
    <row r="11" spans="2:18" ht="70.5" thickBot="1" x14ac:dyDescent="0.4">
      <c r="B11" s="139" t="s">
        <v>36</v>
      </c>
      <c r="C11" s="153" t="s">
        <v>76</v>
      </c>
      <c r="D11" s="152" t="s">
        <v>77</v>
      </c>
      <c r="E11" s="140" t="s">
        <v>115</v>
      </c>
      <c r="F11" s="141" t="s">
        <v>116</v>
      </c>
      <c r="G11" s="165" t="s">
        <v>117</v>
      </c>
      <c r="H11" s="176" t="s">
        <v>94</v>
      </c>
      <c r="I11" s="169" t="s">
        <v>20</v>
      </c>
      <c r="J11" s="166" t="s">
        <v>65</v>
      </c>
      <c r="K11" s="177" t="s">
        <v>95</v>
      </c>
      <c r="L11" s="184" t="s">
        <v>96</v>
      </c>
      <c r="M11" s="173" t="s">
        <v>94</v>
      </c>
      <c r="N11" s="170" t="s">
        <v>65</v>
      </c>
      <c r="O11" s="180" t="s">
        <v>96</v>
      </c>
      <c r="P11" s="191" t="s">
        <v>95</v>
      </c>
      <c r="Q11" s="194" t="s">
        <v>97</v>
      </c>
      <c r="R11" s="195" t="s">
        <v>98</v>
      </c>
    </row>
    <row r="12" spans="2:18" x14ac:dyDescent="0.35">
      <c r="B12" s="142" t="s">
        <v>70</v>
      </c>
      <c r="C12" s="154">
        <v>8.2468995811852408E-3</v>
      </c>
      <c r="D12" s="150">
        <v>1.1796497679256364E-2</v>
      </c>
      <c r="E12" s="143">
        <v>9.5059966394855401E-3</v>
      </c>
      <c r="F12" s="144">
        <v>1.0443182929043244E-2</v>
      </c>
      <c r="G12" s="144">
        <v>9.9149252314231825E-3</v>
      </c>
      <c r="H12" s="178">
        <f>J12/I12</f>
        <v>9.7975780299048142E-3</v>
      </c>
      <c r="I12" s="167">
        <v>3518240.8100000103</v>
      </c>
      <c r="J12" s="167">
        <v>34470.238863970619</v>
      </c>
      <c r="K12" s="171">
        <f>H54</f>
        <v>0</v>
      </c>
      <c r="L12" s="185">
        <v>0</v>
      </c>
      <c r="M12" s="174">
        <f>H12-H12*0.2</f>
        <v>7.8380624239238507E-3</v>
      </c>
      <c r="N12" s="187">
        <f>I12*M12</f>
        <v>27576.191091176494</v>
      </c>
      <c r="O12" s="181">
        <v>0</v>
      </c>
      <c r="P12" s="192">
        <f>O12/N12</f>
        <v>0</v>
      </c>
      <c r="Q12" s="196">
        <f>J12/(1-N54)</f>
        <v>267347.25999999995</v>
      </c>
      <c r="R12" s="197">
        <f>N12/0.85</f>
        <v>32442.577754325288</v>
      </c>
    </row>
    <row r="13" spans="2:18" x14ac:dyDescent="0.35">
      <c r="B13" s="145" t="s">
        <v>82</v>
      </c>
      <c r="C13" s="154">
        <v>8.8769651450949782E-3</v>
      </c>
      <c r="D13" s="150">
        <v>1.2697753586312333E-2</v>
      </c>
      <c r="E13" s="143">
        <v>9.693815684407546E-3</v>
      </c>
      <c r="F13" s="144">
        <v>1.1072189732127579E-2</v>
      </c>
      <c r="G13" s="144">
        <v>1.0426403269855099E-2</v>
      </c>
      <c r="H13" s="178">
        <f t="shared" ref="H13:H16" si="0">J13/I13</f>
        <v>1.0130185170196719E-2</v>
      </c>
      <c r="I13" s="167">
        <v>9525762.5800000578</v>
      </c>
      <c r="J13" s="167">
        <v>96497.738822731422</v>
      </c>
      <c r="K13" s="171">
        <f>H55</f>
        <v>4.9206127085762087E-2</v>
      </c>
      <c r="L13" s="185">
        <v>4748.2800000000007</v>
      </c>
      <c r="M13" s="174">
        <f>H13-H13*0.2</f>
        <v>8.1041481361573756E-3</v>
      </c>
      <c r="N13" s="187">
        <f>I13*M13</f>
        <v>77198.191058185141</v>
      </c>
      <c r="O13" s="181">
        <v>5982.832800000001</v>
      </c>
      <c r="P13" s="192">
        <f t="shared" ref="P13:P16" si="1">O13/N13</f>
        <v>7.749965016007529E-2</v>
      </c>
      <c r="Q13" s="196">
        <f t="shared" ref="Q13:Q16" si="2">J13/(1-N55)</f>
        <v>763187.7899999998</v>
      </c>
      <c r="R13" s="197">
        <f t="shared" ref="R13:R16" si="3">N13/0.85</f>
        <v>90821.401244923691</v>
      </c>
    </row>
    <row r="14" spans="2:18" x14ac:dyDescent="0.35">
      <c r="B14" s="145" t="s">
        <v>83</v>
      </c>
      <c r="C14" s="154">
        <v>1.0443531501682275E-2</v>
      </c>
      <c r="D14" s="150">
        <v>1.4938595275720556E-2</v>
      </c>
      <c r="E14" s="144">
        <v>1.0963833814703549E-2</v>
      </c>
      <c r="F14" s="144">
        <v>1.2224229661379191E-2</v>
      </c>
      <c r="G14" s="144">
        <v>1.156266139296608E-2</v>
      </c>
      <c r="H14" s="178">
        <f t="shared" si="0"/>
        <v>1.1350515703945194E-2</v>
      </c>
      <c r="I14" s="167">
        <v>6642244.2799999956</v>
      </c>
      <c r="J14" s="167">
        <v>75392.898009580094</v>
      </c>
      <c r="K14" s="171">
        <f>H56</f>
        <v>0.11035641578524777</v>
      </c>
      <c r="L14" s="185">
        <v>8320.09</v>
      </c>
      <c r="M14" s="174">
        <f>H14-H14*0.2</f>
        <v>9.0804125631561549E-3</v>
      </c>
      <c r="N14" s="187">
        <f>I14*M14</f>
        <v>60314.318407664068</v>
      </c>
      <c r="O14" s="181">
        <v>10483.313400000001</v>
      </c>
      <c r="P14" s="192">
        <f t="shared" si="1"/>
        <v>0.17381135486176527</v>
      </c>
      <c r="Q14" s="196">
        <f t="shared" si="2"/>
        <v>631225.29999999958</v>
      </c>
      <c r="R14" s="197">
        <f t="shared" si="3"/>
        <v>70958.021656075376</v>
      </c>
    </row>
    <row r="15" spans="2:18" x14ac:dyDescent="0.35">
      <c r="B15" s="145" t="s">
        <v>84</v>
      </c>
      <c r="C15" s="154">
        <v>1.5489539377711779E-2</v>
      </c>
      <c r="D15" s="150">
        <v>2.2156486025220433E-2</v>
      </c>
      <c r="E15" s="144">
        <v>1.5432308010025434E-2</v>
      </c>
      <c r="F15" s="144">
        <v>1.6837302449694579E-2</v>
      </c>
      <c r="G15" s="144">
        <v>1.6597562091239231E-2</v>
      </c>
      <c r="H15" s="178">
        <f t="shared" si="0"/>
        <v>1.598924522255046E-2</v>
      </c>
      <c r="I15" s="167">
        <v>6630565.6800000034</v>
      </c>
      <c r="J15" s="167">
        <v>106017.7406217471</v>
      </c>
      <c r="K15" s="171">
        <f>H57</f>
        <v>0.35151937573319192</v>
      </c>
      <c r="L15" s="185">
        <v>37267.29</v>
      </c>
      <c r="M15" s="174">
        <f>H15-H15*0.2</f>
        <v>1.2791396178040367E-2</v>
      </c>
      <c r="N15" s="187">
        <f>I15*M15</f>
        <v>84814.192497397671</v>
      </c>
      <c r="O15" s="181">
        <v>46956.785400000001</v>
      </c>
      <c r="P15" s="192">
        <f t="shared" si="1"/>
        <v>0.55364301677977734</v>
      </c>
      <c r="Q15" s="196">
        <f t="shared" si="2"/>
        <v>914075.90999999933</v>
      </c>
      <c r="R15" s="197">
        <f t="shared" si="3"/>
        <v>99781.402938114916</v>
      </c>
    </row>
    <row r="16" spans="2:18" ht="15" thickBot="1" x14ac:dyDescent="0.4">
      <c r="B16" s="146" t="s">
        <v>85</v>
      </c>
      <c r="C16" s="155">
        <v>2.8026861171499308E-2</v>
      </c>
      <c r="D16" s="151">
        <v>4.0090072579605181E-2</v>
      </c>
      <c r="E16" s="147">
        <v>2.5659488376951818E-2</v>
      </c>
      <c r="F16" s="147">
        <v>2.8261881396682158E-2</v>
      </c>
      <c r="G16" s="147">
        <v>2.74300743739085E-2</v>
      </c>
      <c r="H16" s="179">
        <f t="shared" si="0"/>
        <v>2.6849689598775161E-2</v>
      </c>
      <c r="I16" s="168">
        <v>5968597.5099999337</v>
      </c>
      <c r="J16" s="168">
        <v>160254.99048352055</v>
      </c>
      <c r="K16" s="172">
        <f>H58</f>
        <v>0.25764389536590337</v>
      </c>
      <c r="L16" s="186">
        <v>41288.720000000008</v>
      </c>
      <c r="M16" s="175">
        <f>H16-H16*0.2</f>
        <v>2.147975167902013E-2</v>
      </c>
      <c r="N16" s="188">
        <f>I16*M16</f>
        <v>128203.99238681645</v>
      </c>
      <c r="O16" s="182">
        <v>52023.787200000013</v>
      </c>
      <c r="P16" s="193">
        <f t="shared" si="1"/>
        <v>0.40578913520129778</v>
      </c>
      <c r="Q16" s="196">
        <f t="shared" si="2"/>
        <v>1447622.4500000007</v>
      </c>
      <c r="R16" s="197">
        <f t="shared" si="3"/>
        <v>150828.22633743112</v>
      </c>
    </row>
    <row r="17" spans="2:19" ht="15" thickBot="1" x14ac:dyDescent="0.4">
      <c r="J17" s="183">
        <f>SUM(J12:J16)</f>
        <v>472633.60680154979</v>
      </c>
      <c r="Q17" s="198">
        <f>SUM(Q12:Q16)</f>
        <v>4023458.7099999995</v>
      </c>
      <c r="R17" s="199">
        <f>SUM(R12:R16)</f>
        <v>444831.62993087037</v>
      </c>
    </row>
    <row r="18" spans="2:19" ht="15" thickBot="1" x14ac:dyDescent="0.4">
      <c r="B18" s="289" t="s">
        <v>118</v>
      </c>
      <c r="C18" s="291"/>
    </row>
    <row r="19" spans="2:19" ht="15" thickBot="1" x14ac:dyDescent="0.4"/>
    <row r="20" spans="2:19" ht="30.5" thickBot="1" x14ac:dyDescent="0.4">
      <c r="B20" s="103" t="s">
        <v>36</v>
      </c>
      <c r="C20" s="104" t="s">
        <v>63</v>
      </c>
      <c r="D20" s="105" t="s">
        <v>22</v>
      </c>
      <c r="E20" s="105" t="s">
        <v>64</v>
      </c>
      <c r="F20" s="105" t="s">
        <v>65</v>
      </c>
      <c r="G20" s="105" t="s">
        <v>61</v>
      </c>
      <c r="H20" s="105" t="s">
        <v>62</v>
      </c>
      <c r="I20" s="105" t="s">
        <v>66</v>
      </c>
      <c r="J20" s="105" t="s">
        <v>67</v>
      </c>
      <c r="K20" s="105" t="s">
        <v>87</v>
      </c>
      <c r="L20" s="105" t="s">
        <v>68</v>
      </c>
      <c r="M20" s="106" t="s">
        <v>69</v>
      </c>
      <c r="R20" s="189"/>
      <c r="S20" s="189"/>
    </row>
    <row r="21" spans="2:19" x14ac:dyDescent="0.35">
      <c r="B21" s="107" t="s">
        <v>70</v>
      </c>
      <c r="C21" s="108">
        <v>3314</v>
      </c>
      <c r="D21" s="126">
        <v>139035.95000000001</v>
      </c>
      <c r="E21" s="109">
        <v>120645.37113602938</v>
      </c>
      <c r="F21" s="109">
        <f t="shared" ref="F21:F26" si="4">D21-E21</f>
        <v>18390.57886397063</v>
      </c>
      <c r="G21" s="130">
        <f t="shared" ref="G21:G27" si="5">(L21+M21)/D21</f>
        <v>0</v>
      </c>
      <c r="H21" s="130">
        <f t="shared" ref="H21:H27" si="6">(L21+M21)/F21</f>
        <v>0</v>
      </c>
      <c r="I21" s="110">
        <v>1</v>
      </c>
      <c r="J21" s="110">
        <v>0</v>
      </c>
      <c r="K21" s="110">
        <v>0</v>
      </c>
      <c r="L21" s="109">
        <v>0</v>
      </c>
      <c r="M21" s="111">
        <v>0</v>
      </c>
    </row>
    <row r="22" spans="2:19" x14ac:dyDescent="0.35">
      <c r="B22" s="112" t="s">
        <v>82</v>
      </c>
      <c r="C22" s="113">
        <v>9555</v>
      </c>
      <c r="D22" s="127">
        <v>426493.8999999995</v>
      </c>
      <c r="E22" s="114">
        <v>372865.7061772676</v>
      </c>
      <c r="F22" s="109">
        <f t="shared" si="4"/>
        <v>53628.193822731904</v>
      </c>
      <c r="G22" s="130">
        <f t="shared" si="5"/>
        <v>8.3695687089545816E-3</v>
      </c>
      <c r="H22" s="130">
        <f t="shared" si="6"/>
        <v>6.6561443627939823E-2</v>
      </c>
      <c r="I22" s="115">
        <v>5</v>
      </c>
      <c r="J22" s="115">
        <v>0</v>
      </c>
      <c r="K22" s="115">
        <v>1</v>
      </c>
      <c r="L22" s="114">
        <v>3569.57</v>
      </c>
      <c r="M22" s="116">
        <v>0</v>
      </c>
    </row>
    <row r="23" spans="2:19" x14ac:dyDescent="0.35">
      <c r="B23" s="112" t="s">
        <v>83</v>
      </c>
      <c r="C23" s="113">
        <v>7658</v>
      </c>
      <c r="D23" s="127">
        <v>359521.17999999964</v>
      </c>
      <c r="E23" s="114">
        <v>316644.69999041909</v>
      </c>
      <c r="F23" s="109">
        <f t="shared" si="4"/>
        <v>42876.480009580555</v>
      </c>
      <c r="G23" s="130">
        <f t="shared" si="5"/>
        <v>3.2297679930845835E-3</v>
      </c>
      <c r="H23" s="130">
        <f t="shared" si="6"/>
        <v>2.7081747376196504E-2</v>
      </c>
      <c r="I23" s="115">
        <v>6</v>
      </c>
      <c r="J23" s="115">
        <v>0</v>
      </c>
      <c r="K23" s="115">
        <v>0</v>
      </c>
      <c r="L23" s="114">
        <v>1161.17</v>
      </c>
      <c r="M23" s="116">
        <v>0</v>
      </c>
    </row>
    <row r="24" spans="2:19" x14ac:dyDescent="0.35">
      <c r="B24" s="112" t="s">
        <v>84</v>
      </c>
      <c r="C24" s="113">
        <v>10198</v>
      </c>
      <c r="D24" s="127">
        <v>503481.55999999924</v>
      </c>
      <c r="E24" s="114">
        <v>444715.98187825113</v>
      </c>
      <c r="F24" s="109">
        <f t="shared" si="4"/>
        <v>58765.578121748113</v>
      </c>
      <c r="G24" s="130">
        <f t="shared" si="5"/>
        <v>8.6588672681478275E-3</v>
      </c>
      <c r="H24" s="130">
        <f t="shared" si="6"/>
        <v>7.4185945911533463E-2</v>
      </c>
      <c r="I24" s="115">
        <v>40</v>
      </c>
      <c r="J24" s="115">
        <v>0</v>
      </c>
      <c r="K24" s="115">
        <v>9</v>
      </c>
      <c r="L24" s="114">
        <v>4359.58</v>
      </c>
      <c r="M24" s="116">
        <v>0</v>
      </c>
    </row>
    <row r="25" spans="2:19" s="164" customFormat="1" x14ac:dyDescent="0.35">
      <c r="B25" s="156" t="s">
        <v>85</v>
      </c>
      <c r="C25" s="157">
        <v>13598</v>
      </c>
      <c r="D25" s="158">
        <v>673781.90000000026</v>
      </c>
      <c r="E25" s="159">
        <v>599688.02451648109</v>
      </c>
      <c r="F25" s="160">
        <f t="shared" si="4"/>
        <v>74093.875483519165</v>
      </c>
      <c r="G25" s="161">
        <f t="shared" si="5"/>
        <v>1.2354487409056248E-2</v>
      </c>
      <c r="H25" s="161">
        <f t="shared" si="6"/>
        <v>0.11234707248983856</v>
      </c>
      <c r="I25" s="162">
        <v>96</v>
      </c>
      <c r="J25" s="162">
        <v>2</v>
      </c>
      <c r="K25" s="162">
        <v>26</v>
      </c>
      <c r="L25" s="159">
        <v>8324.23</v>
      </c>
      <c r="M25" s="163">
        <v>0</v>
      </c>
    </row>
    <row r="26" spans="2:19" x14ac:dyDescent="0.35">
      <c r="B26" s="112" t="s">
        <v>86</v>
      </c>
      <c r="C26" s="117">
        <v>2028</v>
      </c>
      <c r="D26" s="128">
        <v>92298.13</v>
      </c>
      <c r="E26" s="118">
        <v>82985.652000000133</v>
      </c>
      <c r="F26" s="109">
        <f t="shared" si="4"/>
        <v>9312.4779999998718</v>
      </c>
      <c r="G26" s="130">
        <f t="shared" si="5"/>
        <v>1.4436045454008657E-2</v>
      </c>
      <c r="H26" s="130">
        <f t="shared" si="6"/>
        <v>0.14307899573024693</v>
      </c>
      <c r="I26" s="119">
        <v>52</v>
      </c>
      <c r="J26" s="119">
        <v>0</v>
      </c>
      <c r="K26" s="119">
        <v>40</v>
      </c>
      <c r="L26" s="118">
        <v>1332.42</v>
      </c>
      <c r="M26" s="120">
        <v>0</v>
      </c>
    </row>
    <row r="27" spans="2:19" ht="15" thickBot="1" x14ac:dyDescent="0.4">
      <c r="B27" s="121"/>
      <c r="C27" s="122">
        <f>SUM(C21:C26)</f>
        <v>46351</v>
      </c>
      <c r="D27" s="129">
        <f>SUM(D21:D26)</f>
        <v>2194612.6199999987</v>
      </c>
      <c r="E27" s="123">
        <f>SUM(E21:E26)</f>
        <v>1937545.4356984487</v>
      </c>
      <c r="F27" s="123">
        <f>SUM(F21:F26)</f>
        <v>257067.18430155027</v>
      </c>
      <c r="G27" s="131">
        <f t="shared" si="5"/>
        <v>8.5422683844768987E-3</v>
      </c>
      <c r="H27" s="131">
        <f t="shared" si="6"/>
        <v>7.2926344336541382E-2</v>
      </c>
      <c r="I27" s="124">
        <f>SUM(I21:I26)</f>
        <v>200</v>
      </c>
      <c r="J27" s="124">
        <f>SUM(J21:J26)</f>
        <v>2</v>
      </c>
      <c r="K27" s="124">
        <f>SUM(K21:K26)</f>
        <v>76</v>
      </c>
      <c r="L27" s="123">
        <f>SUM(L21:L26)</f>
        <v>18746.97</v>
      </c>
      <c r="M27" s="125">
        <f>SUM(M21:M26)</f>
        <v>0</v>
      </c>
    </row>
    <row r="28" spans="2:19" ht="15" thickBot="1" x14ac:dyDescent="0.4"/>
    <row r="29" spans="2:19" ht="15" thickBot="1" x14ac:dyDescent="0.4">
      <c r="B29" s="289" t="s">
        <v>119</v>
      </c>
      <c r="C29" s="291"/>
    </row>
    <row r="30" spans="2:19" ht="15" thickBot="1" x14ac:dyDescent="0.4"/>
    <row r="31" spans="2:19" ht="30.5" thickBot="1" x14ac:dyDescent="0.4">
      <c r="B31" s="103" t="s">
        <v>36</v>
      </c>
      <c r="C31" s="104" t="s">
        <v>63</v>
      </c>
      <c r="D31" s="105" t="s">
        <v>22</v>
      </c>
      <c r="E31" s="105" t="s">
        <v>64</v>
      </c>
      <c r="F31" s="105" t="s">
        <v>65</v>
      </c>
      <c r="G31" s="105" t="s">
        <v>61</v>
      </c>
      <c r="H31" s="105" t="s">
        <v>62</v>
      </c>
      <c r="I31" s="105" t="s">
        <v>66</v>
      </c>
      <c r="J31" s="105" t="s">
        <v>67</v>
      </c>
      <c r="K31" s="105" t="s">
        <v>87</v>
      </c>
      <c r="L31" s="105" t="s">
        <v>68</v>
      </c>
      <c r="M31" s="106" t="s">
        <v>69</v>
      </c>
    </row>
    <row r="32" spans="2:19" x14ac:dyDescent="0.35">
      <c r="B32" s="107" t="s">
        <v>70</v>
      </c>
      <c r="C32" s="108">
        <v>1037</v>
      </c>
      <c r="D32" s="126">
        <v>70059.309999999969</v>
      </c>
      <c r="E32" s="109">
        <v>61457.699999999983</v>
      </c>
      <c r="F32" s="109">
        <f t="shared" ref="F32:F37" si="7">D32-E32</f>
        <v>8601.609999999986</v>
      </c>
      <c r="G32" s="130">
        <f t="shared" ref="G32:G38" si="8">(L32+M32)/D32</f>
        <v>0</v>
      </c>
      <c r="H32" s="130">
        <f t="shared" ref="H32:H38" si="9">(L32+M32)/F32</f>
        <v>0</v>
      </c>
      <c r="I32" s="110">
        <v>0</v>
      </c>
      <c r="J32" s="110">
        <v>0</v>
      </c>
      <c r="K32" s="110">
        <v>0</v>
      </c>
      <c r="L32" s="109">
        <v>0</v>
      </c>
      <c r="M32" s="111">
        <v>0</v>
      </c>
    </row>
    <row r="33" spans="2:13" x14ac:dyDescent="0.35">
      <c r="B33" s="112" t="s">
        <v>82</v>
      </c>
      <c r="C33" s="113">
        <v>2376</v>
      </c>
      <c r="D33" s="127">
        <v>175961.19000000003</v>
      </c>
      <c r="E33" s="114">
        <v>154199.59000000043</v>
      </c>
      <c r="F33" s="109">
        <f t="shared" si="7"/>
        <v>21761.599999999598</v>
      </c>
      <c r="G33" s="130">
        <f t="shared" si="8"/>
        <v>6.6986930470292897E-3</v>
      </c>
      <c r="H33" s="130">
        <f t="shared" si="9"/>
        <v>5.4164675391516329E-2</v>
      </c>
      <c r="I33" s="115">
        <v>1</v>
      </c>
      <c r="J33" s="115">
        <v>0</v>
      </c>
      <c r="K33" s="115">
        <v>3</v>
      </c>
      <c r="L33" s="114">
        <v>1178.71</v>
      </c>
      <c r="M33" s="116">
        <v>0</v>
      </c>
    </row>
    <row r="34" spans="2:13" x14ac:dyDescent="0.35">
      <c r="B34" s="112" t="s">
        <v>83</v>
      </c>
      <c r="C34" s="113">
        <v>1585</v>
      </c>
      <c r="D34" s="127">
        <v>132791.84000000005</v>
      </c>
      <c r="E34" s="114">
        <v>117509.96000000017</v>
      </c>
      <c r="F34" s="109">
        <f t="shared" si="7"/>
        <v>15281.879999999888</v>
      </c>
      <c r="G34" s="130">
        <f t="shared" si="8"/>
        <v>5.9943442307900819E-3</v>
      </c>
      <c r="H34" s="130">
        <f t="shared" si="9"/>
        <v>5.2087832125367155E-2</v>
      </c>
      <c r="I34" s="115">
        <v>0</v>
      </c>
      <c r="J34" s="115">
        <v>1</v>
      </c>
      <c r="K34" s="115">
        <v>2</v>
      </c>
      <c r="L34" s="114">
        <v>0</v>
      </c>
      <c r="M34" s="116">
        <v>796</v>
      </c>
    </row>
    <row r="35" spans="2:13" x14ac:dyDescent="0.35">
      <c r="B35" s="112" t="s">
        <v>84</v>
      </c>
      <c r="C35" s="113">
        <v>1883</v>
      </c>
      <c r="D35" s="127">
        <v>167206.49999999997</v>
      </c>
      <c r="E35" s="114">
        <v>148310.51000000024</v>
      </c>
      <c r="F35" s="109">
        <f t="shared" si="7"/>
        <v>18895.989999999729</v>
      </c>
      <c r="G35" s="130">
        <f t="shared" si="8"/>
        <v>4.8868375332298694E-2</v>
      </c>
      <c r="H35" s="130">
        <f t="shared" si="9"/>
        <v>0.43242560987808087</v>
      </c>
      <c r="I35" s="115">
        <v>8</v>
      </c>
      <c r="J35" s="115">
        <v>1</v>
      </c>
      <c r="K35" s="115">
        <v>0</v>
      </c>
      <c r="L35" s="114">
        <v>7375.1100000000006</v>
      </c>
      <c r="M35" s="116">
        <v>796</v>
      </c>
    </row>
    <row r="36" spans="2:13" s="164" customFormat="1" x14ac:dyDescent="0.35">
      <c r="B36" s="156" t="s">
        <v>85</v>
      </c>
      <c r="C36" s="157">
        <v>4061</v>
      </c>
      <c r="D36" s="158">
        <v>269846.04999999987</v>
      </c>
      <c r="E36" s="159">
        <v>239699.56000000157</v>
      </c>
      <c r="F36" s="160">
        <f t="shared" si="7"/>
        <v>30146.489999998303</v>
      </c>
      <c r="G36" s="161">
        <f t="shared" si="8"/>
        <v>0.11141560159950467</v>
      </c>
      <c r="H36" s="161">
        <f t="shared" si="9"/>
        <v>0.99729885635116056</v>
      </c>
      <c r="I36" s="162">
        <v>42</v>
      </c>
      <c r="J36" s="162">
        <v>0</v>
      </c>
      <c r="K36" s="162">
        <v>5</v>
      </c>
      <c r="L36" s="159">
        <v>30065.060000000005</v>
      </c>
      <c r="M36" s="163">
        <v>0</v>
      </c>
    </row>
    <row r="37" spans="2:13" x14ac:dyDescent="0.35">
      <c r="B37" s="112" t="s">
        <v>86</v>
      </c>
      <c r="C37" s="117">
        <v>666</v>
      </c>
      <c r="D37" s="128">
        <v>33379</v>
      </c>
      <c r="E37" s="118">
        <v>29392.83999999996</v>
      </c>
      <c r="F37" s="109">
        <f t="shared" si="7"/>
        <v>3986.1600000000399</v>
      </c>
      <c r="G37" s="130">
        <f t="shared" si="8"/>
        <v>0.42713472542616621</v>
      </c>
      <c r="H37" s="130">
        <f t="shared" si="9"/>
        <v>3.5767079093663723</v>
      </c>
      <c r="I37" s="119">
        <v>27</v>
      </c>
      <c r="J37" s="119">
        <v>0</v>
      </c>
      <c r="K37" s="119">
        <v>4</v>
      </c>
      <c r="L37" s="118">
        <v>14257.330000000002</v>
      </c>
      <c r="M37" s="120">
        <v>0</v>
      </c>
    </row>
    <row r="38" spans="2:13" ht="15" thickBot="1" x14ac:dyDescent="0.4">
      <c r="B38" s="121"/>
      <c r="C38" s="122">
        <f>SUM(C32:C37)</f>
        <v>11608</v>
      </c>
      <c r="D38" s="129">
        <f>SUM(D32:D37)</f>
        <v>849243.8899999999</v>
      </c>
      <c r="E38" s="123">
        <f>SUM(E32:E37)</f>
        <v>750570.16000000236</v>
      </c>
      <c r="F38" s="123">
        <f>SUM(F32:F37)</f>
        <v>98673.729999997537</v>
      </c>
      <c r="G38" s="131">
        <f t="shared" si="8"/>
        <v>6.4137299827968161E-2</v>
      </c>
      <c r="H38" s="131">
        <f t="shared" si="9"/>
        <v>0.55200315220678664</v>
      </c>
      <c r="I38" s="124">
        <f>SUM(I32:I37)</f>
        <v>78</v>
      </c>
      <c r="J38" s="124">
        <f>SUM(J32:J37)</f>
        <v>2</v>
      </c>
      <c r="K38" s="124">
        <f>SUM(K32:K37)</f>
        <v>14</v>
      </c>
      <c r="L38" s="123">
        <f>SUM(L32:L37)</f>
        <v>52876.210000000006</v>
      </c>
      <c r="M38" s="125">
        <f>SUM(M32:M37)</f>
        <v>1592</v>
      </c>
    </row>
    <row r="39" spans="2:13" ht="15" thickBot="1" x14ac:dyDescent="0.4"/>
    <row r="40" spans="2:13" ht="15" thickBot="1" x14ac:dyDescent="0.4">
      <c r="B40" s="289" t="s">
        <v>120</v>
      </c>
      <c r="C40" s="291"/>
    </row>
    <row r="41" spans="2:13" ht="15" thickBot="1" x14ac:dyDescent="0.4"/>
    <row r="42" spans="2:13" ht="30.5" thickBot="1" x14ac:dyDescent="0.4">
      <c r="B42" s="103" t="s">
        <v>36</v>
      </c>
      <c r="C42" s="104" t="s">
        <v>63</v>
      </c>
      <c r="D42" s="105" t="s">
        <v>22</v>
      </c>
      <c r="E42" s="105" t="s">
        <v>64</v>
      </c>
      <c r="F42" s="105" t="s">
        <v>65</v>
      </c>
      <c r="G42" s="105" t="s">
        <v>61</v>
      </c>
      <c r="H42" s="105" t="s">
        <v>62</v>
      </c>
      <c r="I42" s="105" t="s">
        <v>66</v>
      </c>
      <c r="J42" s="105" t="s">
        <v>67</v>
      </c>
      <c r="K42" s="105" t="s">
        <v>87</v>
      </c>
      <c r="L42" s="105" t="s">
        <v>68</v>
      </c>
      <c r="M42" s="106" t="s">
        <v>69</v>
      </c>
    </row>
    <row r="43" spans="2:13" x14ac:dyDescent="0.35">
      <c r="B43" s="107" t="s">
        <v>70</v>
      </c>
      <c r="C43" s="108">
        <v>904</v>
      </c>
      <c r="D43" s="126">
        <v>58252</v>
      </c>
      <c r="E43" s="109">
        <v>50773.950000000004</v>
      </c>
      <c r="F43" s="109">
        <f t="shared" ref="F43:F48" si="10">D43-E43</f>
        <v>7478.0499999999956</v>
      </c>
      <c r="G43" s="130">
        <f t="shared" ref="G43:G49" si="11">(L43+M43)/D43</f>
        <v>0</v>
      </c>
      <c r="H43" s="130">
        <f t="shared" ref="H43:H49" si="12">(L43+M43)/F43</f>
        <v>0</v>
      </c>
      <c r="I43" s="110">
        <v>0</v>
      </c>
      <c r="J43" s="110">
        <v>0</v>
      </c>
      <c r="K43" s="110">
        <v>0</v>
      </c>
      <c r="L43" s="109">
        <v>0</v>
      </c>
      <c r="M43" s="111">
        <v>0</v>
      </c>
    </row>
    <row r="44" spans="2:13" x14ac:dyDescent="0.35">
      <c r="B44" s="112" t="s">
        <v>82</v>
      </c>
      <c r="C44" s="113">
        <v>2435</v>
      </c>
      <c r="D44" s="127">
        <v>160732.70000000001</v>
      </c>
      <c r="E44" s="114">
        <v>139624.75500000012</v>
      </c>
      <c r="F44" s="109">
        <f t="shared" si="10"/>
        <v>21107.944999999891</v>
      </c>
      <c r="G44" s="130">
        <f t="shared" si="11"/>
        <v>0</v>
      </c>
      <c r="H44" s="130">
        <f t="shared" si="12"/>
        <v>0</v>
      </c>
      <c r="I44" s="115">
        <v>0</v>
      </c>
      <c r="J44" s="115">
        <v>0</v>
      </c>
      <c r="K44" s="115">
        <v>0</v>
      </c>
      <c r="L44" s="114">
        <v>0</v>
      </c>
      <c r="M44" s="116">
        <v>0</v>
      </c>
    </row>
    <row r="45" spans="2:13" x14ac:dyDescent="0.35">
      <c r="B45" s="112" t="s">
        <v>83</v>
      </c>
      <c r="C45" s="113">
        <v>2128</v>
      </c>
      <c r="D45" s="127">
        <v>138912.28</v>
      </c>
      <c r="E45" s="114">
        <v>121677.7420000003</v>
      </c>
      <c r="F45" s="109">
        <f t="shared" si="10"/>
        <v>17234.537999999695</v>
      </c>
      <c r="G45" s="130">
        <f t="shared" si="11"/>
        <v>4.5805309652969486E-2</v>
      </c>
      <c r="H45" s="130">
        <f t="shared" si="12"/>
        <v>0.36919585543866118</v>
      </c>
      <c r="I45" s="115">
        <v>9</v>
      </c>
      <c r="J45" s="115">
        <v>1</v>
      </c>
      <c r="K45" s="115">
        <v>2</v>
      </c>
      <c r="L45" s="114">
        <v>5260.7699999999995</v>
      </c>
      <c r="M45" s="116">
        <v>1102.1500000000001</v>
      </c>
    </row>
    <row r="46" spans="2:13" x14ac:dyDescent="0.35">
      <c r="B46" s="112" t="s">
        <v>84</v>
      </c>
      <c r="C46" s="113">
        <v>3774</v>
      </c>
      <c r="D46" s="127">
        <v>243387.85</v>
      </c>
      <c r="E46" s="114">
        <v>215031.67750000078</v>
      </c>
      <c r="F46" s="109">
        <f t="shared" si="10"/>
        <v>28356.172499999229</v>
      </c>
      <c r="G46" s="130">
        <f t="shared" si="11"/>
        <v>0.10163448997145913</v>
      </c>
      <c r="H46" s="130">
        <f t="shared" si="12"/>
        <v>0.87235327687474995</v>
      </c>
      <c r="I46" s="115">
        <v>65</v>
      </c>
      <c r="J46" s="115">
        <v>5</v>
      </c>
      <c r="K46" s="115">
        <v>3</v>
      </c>
      <c r="L46" s="114">
        <v>23600.6</v>
      </c>
      <c r="M46" s="116">
        <v>1136</v>
      </c>
    </row>
    <row r="47" spans="2:13" s="164" customFormat="1" x14ac:dyDescent="0.35">
      <c r="B47" s="156" t="s">
        <v>85</v>
      </c>
      <c r="C47" s="157">
        <v>9508</v>
      </c>
      <c r="D47" s="158">
        <v>503994.5</v>
      </c>
      <c r="E47" s="159">
        <v>447979.87499999691</v>
      </c>
      <c r="F47" s="160">
        <f t="shared" si="10"/>
        <v>56014.625000003085</v>
      </c>
      <c r="G47" s="161">
        <f t="shared" si="11"/>
        <v>5.7529000812508863E-3</v>
      </c>
      <c r="H47" s="161">
        <f t="shared" si="12"/>
        <v>5.1762017508817385E-2</v>
      </c>
      <c r="I47" s="162">
        <v>7</v>
      </c>
      <c r="J47" s="162">
        <v>0</v>
      </c>
      <c r="K47" s="162">
        <v>1</v>
      </c>
      <c r="L47" s="159">
        <v>2899.43</v>
      </c>
      <c r="M47" s="163">
        <v>0</v>
      </c>
    </row>
    <row r="48" spans="2:13" x14ac:dyDescent="0.35">
      <c r="B48" s="112" t="s">
        <v>86</v>
      </c>
      <c r="C48" s="117">
        <v>1693</v>
      </c>
      <c r="D48" s="128">
        <v>74750</v>
      </c>
      <c r="E48" s="118">
        <v>65853.450000000012</v>
      </c>
      <c r="F48" s="109">
        <f t="shared" si="10"/>
        <v>8896.5499999999884</v>
      </c>
      <c r="G48" s="130">
        <f t="shared" si="11"/>
        <v>1.038608695652174E-2</v>
      </c>
      <c r="H48" s="130">
        <f t="shared" si="12"/>
        <v>8.7265288229707139E-2</v>
      </c>
      <c r="I48" s="119">
        <v>5</v>
      </c>
      <c r="J48" s="119">
        <v>0</v>
      </c>
      <c r="K48" s="119">
        <v>2</v>
      </c>
      <c r="L48" s="118">
        <v>776.36</v>
      </c>
      <c r="M48" s="120">
        <v>0</v>
      </c>
    </row>
    <row r="49" spans="2:14" ht="15" thickBot="1" x14ac:dyDescent="0.4">
      <c r="B49" s="121"/>
      <c r="C49" s="122">
        <f>SUM(C43:C48)</f>
        <v>20442</v>
      </c>
      <c r="D49" s="129">
        <f>SUM(D43:D48)</f>
        <v>1180029.33</v>
      </c>
      <c r="E49" s="123">
        <f>SUM(E43:E48)</f>
        <v>1040941.449499998</v>
      </c>
      <c r="F49" s="123">
        <f>SUM(F43:F48)</f>
        <v>139087.88050000189</v>
      </c>
      <c r="G49" s="131">
        <f t="shared" si="11"/>
        <v>2.9469869193844526E-2</v>
      </c>
      <c r="H49" s="131">
        <f t="shared" si="12"/>
        <v>0.25002401269605606</v>
      </c>
      <c r="I49" s="124">
        <f>SUM(I43:I48)</f>
        <v>86</v>
      </c>
      <c r="J49" s="124">
        <f>SUM(J43:J48)</f>
        <v>6</v>
      </c>
      <c r="K49" s="124">
        <f>SUM(K43:K48)</f>
        <v>8</v>
      </c>
      <c r="L49" s="123">
        <f>SUM(L43:L48)</f>
        <v>32537.16</v>
      </c>
      <c r="M49" s="125">
        <f>SUM(M43:M48)</f>
        <v>2238.15</v>
      </c>
    </row>
    <row r="50" spans="2:14" ht="15" thickBot="1" x14ac:dyDescent="0.4"/>
    <row r="51" spans="2:14" ht="15" thickBot="1" x14ac:dyDescent="0.4">
      <c r="B51" s="289" t="s">
        <v>88</v>
      </c>
      <c r="C51" s="291"/>
    </row>
    <row r="52" spans="2:14" ht="15" thickBot="1" x14ac:dyDescent="0.4"/>
    <row r="53" spans="2:14" ht="30.5" thickBot="1" x14ac:dyDescent="0.4">
      <c r="B53" s="103" t="s">
        <v>36</v>
      </c>
      <c r="C53" s="104" t="s">
        <v>63</v>
      </c>
      <c r="D53" s="105" t="s">
        <v>22</v>
      </c>
      <c r="E53" s="105" t="s">
        <v>64</v>
      </c>
      <c r="F53" s="105" t="s">
        <v>65</v>
      </c>
      <c r="G53" s="105" t="s">
        <v>61</v>
      </c>
      <c r="H53" s="105" t="s">
        <v>62</v>
      </c>
      <c r="I53" s="105" t="s">
        <v>66</v>
      </c>
      <c r="J53" s="105" t="s">
        <v>67</v>
      </c>
      <c r="K53" s="105" t="s">
        <v>87</v>
      </c>
      <c r="L53" s="105" t="s">
        <v>68</v>
      </c>
      <c r="M53" s="106" t="s">
        <v>69</v>
      </c>
    </row>
    <row r="54" spans="2:14" x14ac:dyDescent="0.35">
      <c r="B54" s="107" t="s">
        <v>70</v>
      </c>
      <c r="C54" s="108">
        <v>5255</v>
      </c>
      <c r="D54" s="126">
        <v>267347.26</v>
      </c>
      <c r="E54" s="109">
        <v>232877.02113602939</v>
      </c>
      <c r="F54" s="109">
        <f t="shared" ref="F54:F59" si="13">D54-E54</f>
        <v>34470.238863970619</v>
      </c>
      <c r="G54" s="130">
        <f>(L54+M54)/D54</f>
        <v>0</v>
      </c>
      <c r="H54" s="130">
        <f t="shared" ref="H54:H60" si="14">(L54+M54)/F54</f>
        <v>0</v>
      </c>
      <c r="I54" s="110">
        <v>1</v>
      </c>
      <c r="J54" s="110">
        <v>0</v>
      </c>
      <c r="K54" s="110">
        <v>0</v>
      </c>
      <c r="L54" s="109">
        <v>0</v>
      </c>
      <c r="M54" s="111">
        <v>0</v>
      </c>
      <c r="N54" s="190">
        <f>E54/D54</f>
        <v>0.87106567367112486</v>
      </c>
    </row>
    <row r="55" spans="2:14" x14ac:dyDescent="0.35">
      <c r="B55" s="112" t="s">
        <v>82</v>
      </c>
      <c r="C55" s="108">
        <v>14366</v>
      </c>
      <c r="D55" s="126">
        <v>763187.78999999957</v>
      </c>
      <c r="E55" s="109">
        <v>666690.05117726815</v>
      </c>
      <c r="F55" s="109">
        <f t="shared" si="13"/>
        <v>96497.738822731422</v>
      </c>
      <c r="G55" s="130">
        <f t="shared" ref="G55:G60" si="15">(L55+M55)/D55</f>
        <v>6.2216404169673674E-3</v>
      </c>
      <c r="H55" s="130">
        <f t="shared" si="14"/>
        <v>4.9206127085762087E-2</v>
      </c>
      <c r="I55" s="110">
        <v>6</v>
      </c>
      <c r="J55" s="110">
        <v>0</v>
      </c>
      <c r="K55" s="110">
        <v>4</v>
      </c>
      <c r="L55" s="109">
        <v>4748.2800000000007</v>
      </c>
      <c r="M55" s="111">
        <v>0</v>
      </c>
      <c r="N55" s="190">
        <f t="shared" ref="N55:N59" si="16">E55/D55</f>
        <v>0.87355964012116671</v>
      </c>
    </row>
    <row r="56" spans="2:14" x14ac:dyDescent="0.35">
      <c r="B56" s="112" t="s">
        <v>83</v>
      </c>
      <c r="C56" s="108">
        <v>11371</v>
      </c>
      <c r="D56" s="126">
        <v>631225.2999999997</v>
      </c>
      <c r="E56" s="109">
        <v>555832.4019904196</v>
      </c>
      <c r="F56" s="109">
        <f t="shared" si="13"/>
        <v>75392.898009580094</v>
      </c>
      <c r="G56" s="130">
        <f t="shared" si="15"/>
        <v>1.3180856344002694E-2</v>
      </c>
      <c r="H56" s="130">
        <f t="shared" si="14"/>
        <v>0.11035641578524777</v>
      </c>
      <c r="I56" s="110">
        <v>15</v>
      </c>
      <c r="J56" s="110">
        <v>2</v>
      </c>
      <c r="K56" s="110">
        <v>4</v>
      </c>
      <c r="L56" s="109">
        <v>6421.94</v>
      </c>
      <c r="M56" s="111">
        <v>1898.15</v>
      </c>
      <c r="N56" s="190">
        <f t="shared" si="16"/>
        <v>0.88056103263037755</v>
      </c>
    </row>
    <row r="57" spans="2:14" x14ac:dyDescent="0.35">
      <c r="B57" s="112" t="s">
        <v>84</v>
      </c>
      <c r="C57" s="108">
        <v>15855</v>
      </c>
      <c r="D57" s="126">
        <v>914075.90999999922</v>
      </c>
      <c r="E57" s="109">
        <v>808058.16937825212</v>
      </c>
      <c r="F57" s="109">
        <f t="shared" si="13"/>
        <v>106017.7406217471</v>
      </c>
      <c r="G57" s="130">
        <f t="shared" si="15"/>
        <v>4.0770454173767727E-2</v>
      </c>
      <c r="H57" s="130">
        <f t="shared" si="14"/>
        <v>0.35151937573319192</v>
      </c>
      <c r="I57" s="110">
        <v>113</v>
      </c>
      <c r="J57" s="110">
        <v>6</v>
      </c>
      <c r="K57" s="110">
        <v>12</v>
      </c>
      <c r="L57" s="109">
        <v>35335.29</v>
      </c>
      <c r="M57" s="111">
        <v>1932</v>
      </c>
      <c r="N57" s="190">
        <f t="shared" si="16"/>
        <v>0.88401648105817909</v>
      </c>
    </row>
    <row r="58" spans="2:14" x14ac:dyDescent="0.35">
      <c r="B58" s="112" t="s">
        <v>85</v>
      </c>
      <c r="C58" s="108">
        <v>27167</v>
      </c>
      <c r="D58" s="126">
        <v>1447622.4500000002</v>
      </c>
      <c r="E58" s="109">
        <v>1287367.4595164796</v>
      </c>
      <c r="F58" s="109">
        <f t="shared" si="13"/>
        <v>160254.99048352055</v>
      </c>
      <c r="G58" s="130">
        <f t="shared" si="15"/>
        <v>2.8521746122409198E-2</v>
      </c>
      <c r="H58" s="130">
        <f t="shared" si="14"/>
        <v>0.25764389536590337</v>
      </c>
      <c r="I58" s="110">
        <v>145</v>
      </c>
      <c r="J58" s="110">
        <v>2</v>
      </c>
      <c r="K58" s="110">
        <v>32</v>
      </c>
      <c r="L58" s="109">
        <v>41288.720000000008</v>
      </c>
      <c r="M58" s="111">
        <v>0</v>
      </c>
      <c r="N58" s="190">
        <f t="shared" si="16"/>
        <v>0.88929779965520672</v>
      </c>
    </row>
    <row r="59" spans="2:14" x14ac:dyDescent="0.35">
      <c r="B59" s="112" t="s">
        <v>86</v>
      </c>
      <c r="C59" s="108">
        <v>4387</v>
      </c>
      <c r="D59" s="126">
        <v>200427.13</v>
      </c>
      <c r="E59" s="109">
        <v>178231.9420000001</v>
      </c>
      <c r="F59" s="109">
        <f t="shared" si="13"/>
        <v>22195.187999999907</v>
      </c>
      <c r="G59" s="130">
        <f t="shared" si="15"/>
        <v>8.1656161019718246E-2</v>
      </c>
      <c r="H59" s="130">
        <f t="shared" si="14"/>
        <v>0.73737199252378804</v>
      </c>
      <c r="I59" s="110">
        <v>84</v>
      </c>
      <c r="J59" s="110">
        <v>0</v>
      </c>
      <c r="K59" s="110">
        <v>46</v>
      </c>
      <c r="L59" s="109">
        <v>16366.110000000002</v>
      </c>
      <c r="M59" s="111">
        <v>0</v>
      </c>
      <c r="N59" s="190">
        <f t="shared" si="16"/>
        <v>0.88926056068357662</v>
      </c>
    </row>
    <row r="60" spans="2:14" ht="15" thickBot="1" x14ac:dyDescent="0.4">
      <c r="B60" s="121"/>
      <c r="C60" s="122">
        <f>SUM(C54:C59)</f>
        <v>78401</v>
      </c>
      <c r="D60" s="129">
        <f>SUM(D54:D59)</f>
        <v>4223885.8399999989</v>
      </c>
      <c r="E60" s="123">
        <f>SUM(E54:E59)</f>
        <v>3729057.0451984494</v>
      </c>
      <c r="F60" s="123">
        <f>SUM(F54:F59)</f>
        <v>494828.79480154969</v>
      </c>
      <c r="G60" s="131">
        <f t="shared" si="15"/>
        <v>2.5566621374407229E-2</v>
      </c>
      <c r="H60" s="131">
        <f t="shared" si="14"/>
        <v>0.21823808786897581</v>
      </c>
      <c r="I60" s="124">
        <f>SUM(I54:I59)</f>
        <v>364</v>
      </c>
      <c r="J60" s="124">
        <f>SUM(J54:J59)</f>
        <v>10</v>
      </c>
      <c r="K60" s="124">
        <f>SUM(K54:K59)</f>
        <v>98</v>
      </c>
      <c r="L60" s="123">
        <f>SUM(L54:L59)</f>
        <v>104160.34000000001</v>
      </c>
      <c r="M60" s="125">
        <f>SUM(M54:M59)</f>
        <v>3830.15</v>
      </c>
    </row>
    <row r="65" spans="5:5" x14ac:dyDescent="0.35">
      <c r="E65" s="183"/>
    </row>
  </sheetData>
  <mergeCells count="9">
    <mergeCell ref="M8:R9"/>
    <mergeCell ref="D3:H4"/>
    <mergeCell ref="B51:C51"/>
    <mergeCell ref="C8:D8"/>
    <mergeCell ref="C9:D9"/>
    <mergeCell ref="B18:C18"/>
    <mergeCell ref="B29:C29"/>
    <mergeCell ref="B40:C40"/>
    <mergeCell ref="H8:L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C3:N47"/>
  <sheetViews>
    <sheetView topLeftCell="G1" zoomScaleNormal="100" workbookViewId="0">
      <selection activeCell="K10" sqref="K10"/>
    </sheetView>
  </sheetViews>
  <sheetFormatPr defaultRowHeight="14.5" x14ac:dyDescent="0.35"/>
  <cols>
    <col min="3" max="3" width="8.54296875" customWidth="1"/>
    <col min="4" max="4" width="16.453125" customWidth="1"/>
    <col min="5" max="5" width="16" customWidth="1"/>
    <col min="6" max="6" width="16.81640625" customWidth="1"/>
    <col min="7" max="7" width="15.81640625" customWidth="1"/>
    <col min="8" max="8" width="13.54296875" customWidth="1"/>
    <col min="9" max="9" width="14.81640625" customWidth="1"/>
    <col min="10" max="10" width="15.1796875" customWidth="1"/>
    <col min="11" max="14" width="12.453125" customWidth="1"/>
  </cols>
  <sheetData>
    <row r="3" spans="3:14" x14ac:dyDescent="0.35">
      <c r="E3" s="308" t="s">
        <v>100</v>
      </c>
      <c r="F3" s="308"/>
      <c r="G3" s="308"/>
      <c r="H3" s="308"/>
      <c r="I3" s="308"/>
      <c r="J3" s="308"/>
      <c r="K3" s="308"/>
      <c r="L3" s="308"/>
    </row>
    <row r="4" spans="3:14" x14ac:dyDescent="0.35">
      <c r="E4" s="308"/>
      <c r="F4" s="308"/>
      <c r="G4" s="308"/>
      <c r="H4" s="308"/>
      <c r="I4" s="308"/>
      <c r="J4" s="308"/>
      <c r="K4" s="308"/>
      <c r="L4" s="308"/>
    </row>
    <row r="7" spans="3:14" ht="15" thickBot="1" x14ac:dyDescent="0.4"/>
    <row r="8" spans="3:14" ht="15" thickBot="1" x14ac:dyDescent="0.4">
      <c r="C8" s="289" t="s">
        <v>121</v>
      </c>
      <c r="D8" s="291"/>
    </row>
    <row r="9" spans="3:14" ht="15" thickBot="1" x14ac:dyDescent="0.4"/>
    <row r="10" spans="3:14" ht="30.5" thickBot="1" x14ac:dyDescent="0.4">
      <c r="C10" s="103" t="s">
        <v>36</v>
      </c>
      <c r="D10" s="104" t="s">
        <v>63</v>
      </c>
      <c r="E10" s="105" t="s">
        <v>22</v>
      </c>
      <c r="F10" s="105" t="s">
        <v>64</v>
      </c>
      <c r="G10" s="105" t="s">
        <v>65</v>
      </c>
      <c r="H10" s="105" t="s">
        <v>61</v>
      </c>
      <c r="I10" s="105" t="s">
        <v>62</v>
      </c>
      <c r="J10" s="105" t="s">
        <v>90</v>
      </c>
      <c r="K10" s="105" t="s">
        <v>91</v>
      </c>
      <c r="L10" s="105" t="s">
        <v>87</v>
      </c>
      <c r="M10" s="105" t="s">
        <v>68</v>
      </c>
      <c r="N10" s="106" t="s">
        <v>69</v>
      </c>
    </row>
    <row r="11" spans="3:14" x14ac:dyDescent="0.35">
      <c r="C11" s="107" t="s">
        <v>70</v>
      </c>
      <c r="D11" s="108">
        <v>6642</v>
      </c>
      <c r="E11" s="126">
        <v>257484.79999999996</v>
      </c>
      <c r="F11" s="109">
        <v>219634.06981572113</v>
      </c>
      <c r="G11" s="109">
        <f>E11-F11</f>
        <v>37850.730184278829</v>
      </c>
      <c r="H11" s="130">
        <f>(M11+N11)/E11</f>
        <v>1.0838775725790416E-2</v>
      </c>
      <c r="I11" s="130">
        <f>(M11+N11)/G11</f>
        <v>7.3732263193145936E-2</v>
      </c>
      <c r="J11" s="110">
        <v>4</v>
      </c>
      <c r="K11" s="110">
        <v>0</v>
      </c>
      <c r="L11" s="110">
        <v>0</v>
      </c>
      <c r="M11" s="109">
        <v>2790.8199999999997</v>
      </c>
      <c r="N11" s="111">
        <v>0</v>
      </c>
    </row>
    <row r="12" spans="3:14" x14ac:dyDescent="0.35">
      <c r="C12" s="112" t="s">
        <v>82</v>
      </c>
      <c r="D12" s="113">
        <v>19714</v>
      </c>
      <c r="E12" s="127">
        <v>803870.86999999941</v>
      </c>
      <c r="F12" s="114">
        <v>692173.77931995131</v>
      </c>
      <c r="G12" s="109">
        <f t="shared" ref="G12:G15" si="0">E12-F12</f>
        <v>111697.0906800481</v>
      </c>
      <c r="H12" s="130">
        <f>(M12+N12)/E12</f>
        <v>5.5905620762200323E-3</v>
      </c>
      <c r="I12" s="130">
        <f>(M12+N12)/G12</f>
        <v>4.0234620012379221E-2</v>
      </c>
      <c r="J12" s="115">
        <v>7</v>
      </c>
      <c r="K12" s="115">
        <v>0</v>
      </c>
      <c r="L12" s="115">
        <v>1</v>
      </c>
      <c r="M12" s="114">
        <v>4494.09</v>
      </c>
      <c r="N12" s="116">
        <v>0</v>
      </c>
    </row>
    <row r="13" spans="3:14" x14ac:dyDescent="0.35">
      <c r="C13" s="112" t="s">
        <v>83</v>
      </c>
      <c r="D13" s="113">
        <v>16042</v>
      </c>
      <c r="E13" s="127">
        <v>683034.91999999958</v>
      </c>
      <c r="F13" s="114">
        <v>594226.00993636961</v>
      </c>
      <c r="G13" s="109">
        <f t="shared" si="0"/>
        <v>88808.91006362997</v>
      </c>
      <c r="H13" s="130">
        <f t="shared" ref="H13:H15" si="1">(M13+N13)/E13</f>
        <v>3.5216940299333476E-3</v>
      </c>
      <c r="I13" s="130">
        <f t="shared" ref="I13:I15" si="2">(M13+N13)/G13</f>
        <v>2.70855705612933E-2</v>
      </c>
      <c r="J13" s="115">
        <v>11</v>
      </c>
      <c r="K13" s="115">
        <v>0</v>
      </c>
      <c r="L13" s="115">
        <v>1</v>
      </c>
      <c r="M13" s="114">
        <v>2405.44</v>
      </c>
      <c r="N13" s="116">
        <v>0</v>
      </c>
    </row>
    <row r="14" spans="3:14" x14ac:dyDescent="0.35">
      <c r="C14" s="112" t="s">
        <v>84</v>
      </c>
      <c r="D14" s="113">
        <v>21075</v>
      </c>
      <c r="E14" s="127">
        <v>946757.37999999919</v>
      </c>
      <c r="F14" s="114">
        <v>827461.16633424256</v>
      </c>
      <c r="G14" s="109">
        <f t="shared" si="0"/>
        <v>119296.21366575663</v>
      </c>
      <c r="H14" s="130">
        <f t="shared" si="1"/>
        <v>7.558620773571373E-3</v>
      </c>
      <c r="I14" s="130">
        <f t="shared" si="2"/>
        <v>5.9986648193631191E-2</v>
      </c>
      <c r="J14" s="115">
        <v>59</v>
      </c>
      <c r="K14" s="115">
        <v>0</v>
      </c>
      <c r="L14" s="115">
        <v>18</v>
      </c>
      <c r="M14" s="114">
        <v>7156.18</v>
      </c>
      <c r="N14" s="116">
        <v>0</v>
      </c>
    </row>
    <row r="15" spans="3:14" x14ac:dyDescent="0.35">
      <c r="C15" s="112" t="s">
        <v>85</v>
      </c>
      <c r="D15" s="117">
        <v>26337</v>
      </c>
      <c r="E15" s="128">
        <v>1220369.9100000001</v>
      </c>
      <c r="F15" s="118">
        <v>1062644.5680425926</v>
      </c>
      <c r="G15" s="109">
        <f t="shared" si="0"/>
        <v>157725.34195740754</v>
      </c>
      <c r="H15" s="130">
        <f t="shared" si="1"/>
        <v>1.0415292851656755E-2</v>
      </c>
      <c r="I15" s="130">
        <f t="shared" si="2"/>
        <v>8.0586352467267891E-2</v>
      </c>
      <c r="J15" s="119">
        <v>211</v>
      </c>
      <c r="K15" s="119">
        <v>2</v>
      </c>
      <c r="L15" s="119">
        <v>89</v>
      </c>
      <c r="M15" s="118">
        <v>12710.51</v>
      </c>
      <c r="N15" s="120">
        <v>0</v>
      </c>
    </row>
    <row r="16" spans="3:14" ht="15" thickBot="1" x14ac:dyDescent="0.4">
      <c r="C16" s="221" t="s">
        <v>102</v>
      </c>
      <c r="D16" s="132">
        <f>SUM(D11:D15)</f>
        <v>89810</v>
      </c>
      <c r="E16" s="133">
        <f>SUM(E11:E15)</f>
        <v>3911517.879999998</v>
      </c>
      <c r="F16" s="134">
        <f>SUM(F11:F15)</f>
        <v>3396139.5934488773</v>
      </c>
      <c r="G16" s="134">
        <f>SUM(G11:G15)</f>
        <v>515378.28655112104</v>
      </c>
      <c r="H16" s="137">
        <f>(M16+N16)/E16</f>
        <v>7.5564118346814297E-3</v>
      </c>
      <c r="I16" s="137">
        <f>(M16+N16)/G16</f>
        <v>5.7350184847316417E-2</v>
      </c>
      <c r="J16" s="135">
        <f>SUM(J11:J15)</f>
        <v>292</v>
      </c>
      <c r="K16" s="135">
        <f>SUM(K11:K15)</f>
        <v>2</v>
      </c>
      <c r="L16" s="135">
        <f>SUM(L11:L15)</f>
        <v>109</v>
      </c>
      <c r="M16" s="134">
        <f>SUM(M11:M15)</f>
        <v>29557.040000000001</v>
      </c>
      <c r="N16" s="136">
        <f>SUM(N11:N15)</f>
        <v>0</v>
      </c>
    </row>
    <row r="17" spans="3:14" ht="15" thickBot="1" x14ac:dyDescent="0.4"/>
    <row r="18" spans="3:14" ht="15" thickBot="1" x14ac:dyDescent="0.4">
      <c r="C18" s="289" t="s">
        <v>122</v>
      </c>
      <c r="D18" s="291"/>
    </row>
    <row r="19" spans="3:14" ht="15" thickBot="1" x14ac:dyDescent="0.4"/>
    <row r="20" spans="3:14" ht="30.5" thickBot="1" x14ac:dyDescent="0.4">
      <c r="C20" s="103" t="s">
        <v>36</v>
      </c>
      <c r="D20" s="104" t="s">
        <v>63</v>
      </c>
      <c r="E20" s="105" t="s">
        <v>22</v>
      </c>
      <c r="F20" s="105" t="s">
        <v>64</v>
      </c>
      <c r="G20" s="105" t="s">
        <v>65</v>
      </c>
      <c r="H20" s="105" t="s">
        <v>61</v>
      </c>
      <c r="I20" s="105" t="s">
        <v>62</v>
      </c>
      <c r="J20" s="105" t="s">
        <v>90</v>
      </c>
      <c r="K20" s="105" t="s">
        <v>91</v>
      </c>
      <c r="L20" s="105" t="s">
        <v>87</v>
      </c>
      <c r="M20" s="105" t="s">
        <v>68</v>
      </c>
      <c r="N20" s="106" t="s">
        <v>69</v>
      </c>
    </row>
    <row r="21" spans="3:14" x14ac:dyDescent="0.35">
      <c r="C21" s="107" t="s">
        <v>70</v>
      </c>
      <c r="D21" s="108">
        <v>1742</v>
      </c>
      <c r="E21" s="126">
        <v>101249.13999999997</v>
      </c>
      <c r="F21" s="109">
        <v>70788.319999999978</v>
      </c>
      <c r="G21" s="109">
        <f>E21-F21</f>
        <v>30460.819999999992</v>
      </c>
      <c r="H21" s="130">
        <f>(M21+N21)/E21</f>
        <v>0</v>
      </c>
      <c r="I21" s="130">
        <f>(M21+N21)/G21</f>
        <v>0</v>
      </c>
      <c r="J21" s="110">
        <v>0</v>
      </c>
      <c r="K21" s="110">
        <v>0</v>
      </c>
      <c r="L21" s="110">
        <v>0</v>
      </c>
      <c r="M21" s="109">
        <v>0</v>
      </c>
      <c r="N21" s="111">
        <v>0</v>
      </c>
    </row>
    <row r="22" spans="3:14" x14ac:dyDescent="0.35">
      <c r="C22" s="112" t="s">
        <v>82</v>
      </c>
      <c r="D22" s="113">
        <v>4087</v>
      </c>
      <c r="E22" s="127">
        <v>259470.73000000004</v>
      </c>
      <c r="F22" s="114">
        <v>177092.19000000041</v>
      </c>
      <c r="G22" s="109">
        <f t="shared" ref="G22:G25" si="3">E22-F22</f>
        <v>82378.53999999963</v>
      </c>
      <c r="H22" s="130">
        <f>(M22+N22)/E22</f>
        <v>1.0601234289509263E-2</v>
      </c>
      <c r="I22" s="130">
        <f>(M22+N22)/G22</f>
        <v>3.3391099186754369E-2</v>
      </c>
      <c r="J22" s="115">
        <v>1</v>
      </c>
      <c r="K22" s="115">
        <v>2</v>
      </c>
      <c r="L22" s="115">
        <v>10</v>
      </c>
      <c r="M22" s="114">
        <v>1178.71</v>
      </c>
      <c r="N22" s="116">
        <v>1572</v>
      </c>
    </row>
    <row r="23" spans="3:14" x14ac:dyDescent="0.35">
      <c r="C23" s="112" t="s">
        <v>83</v>
      </c>
      <c r="D23" s="113">
        <v>2574</v>
      </c>
      <c r="E23" s="127">
        <v>186191.42000000004</v>
      </c>
      <c r="F23" s="114">
        <v>130285.31000000016</v>
      </c>
      <c r="G23" s="109">
        <f t="shared" si="3"/>
        <v>55906.109999999884</v>
      </c>
      <c r="H23" s="130">
        <f t="shared" ref="H23:H25" si="4">(M23+N23)/E23</f>
        <v>4.2751701447897002E-3</v>
      </c>
      <c r="I23" s="130">
        <f t="shared" ref="I23:I25" si="5">(M23+N23)/G23</f>
        <v>1.4238157510869593E-2</v>
      </c>
      <c r="J23" s="115">
        <v>0</v>
      </c>
      <c r="K23" s="115">
        <v>1</v>
      </c>
      <c r="L23" s="115">
        <v>2</v>
      </c>
      <c r="M23" s="114">
        <v>0</v>
      </c>
      <c r="N23" s="116">
        <v>796</v>
      </c>
    </row>
    <row r="24" spans="3:14" x14ac:dyDescent="0.35">
      <c r="C24" s="112" t="s">
        <v>84</v>
      </c>
      <c r="D24" s="113">
        <v>2941</v>
      </c>
      <c r="E24" s="127">
        <v>230785.97999999998</v>
      </c>
      <c r="F24" s="114">
        <v>160974.53000000023</v>
      </c>
      <c r="G24" s="109">
        <f t="shared" si="3"/>
        <v>69811.44999999975</v>
      </c>
      <c r="H24" s="130">
        <f t="shared" si="4"/>
        <v>0.12296509519339087</v>
      </c>
      <c r="I24" s="130">
        <f t="shared" si="5"/>
        <v>0.406503804175391</v>
      </c>
      <c r="J24" s="115">
        <v>29</v>
      </c>
      <c r="K24" s="115">
        <v>1</v>
      </c>
      <c r="L24" s="115">
        <v>0</v>
      </c>
      <c r="M24" s="114">
        <v>27582.62</v>
      </c>
      <c r="N24" s="116">
        <v>796</v>
      </c>
    </row>
    <row r="25" spans="3:14" x14ac:dyDescent="0.35">
      <c r="C25" s="112" t="s">
        <v>85</v>
      </c>
      <c r="D25" s="117">
        <v>5567</v>
      </c>
      <c r="E25" s="128">
        <v>358210.54999999987</v>
      </c>
      <c r="F25" s="118">
        <v>253372.41000000158</v>
      </c>
      <c r="G25" s="109">
        <f t="shared" si="3"/>
        <v>104838.1399999983</v>
      </c>
      <c r="H25" s="130">
        <f t="shared" si="4"/>
        <v>0.10142953634391844</v>
      </c>
      <c r="I25" s="130">
        <f t="shared" si="5"/>
        <v>0.34656404625263848</v>
      </c>
      <c r="J25" s="119">
        <v>62</v>
      </c>
      <c r="K25" s="119">
        <v>0</v>
      </c>
      <c r="L25" s="119">
        <v>8</v>
      </c>
      <c r="M25" s="118">
        <v>36333.129999999997</v>
      </c>
      <c r="N25" s="120">
        <v>0</v>
      </c>
    </row>
    <row r="26" spans="3:14" ht="15" thickBot="1" x14ac:dyDescent="0.4">
      <c r="C26" s="221" t="s">
        <v>102</v>
      </c>
      <c r="D26" s="132">
        <f>SUM(D21:D25)</f>
        <v>16911</v>
      </c>
      <c r="E26" s="133">
        <f>SUM(E21:E25)</f>
        <v>1135907.8199999998</v>
      </c>
      <c r="F26" s="134">
        <f>SUM(F21:F25)</f>
        <v>792512.76000000234</v>
      </c>
      <c r="G26" s="134">
        <f>SUM(G21:G25)</f>
        <v>343395.05999999755</v>
      </c>
      <c r="H26" s="137">
        <f>(M26+N26)/E26</f>
        <v>6.009154862583832E-2</v>
      </c>
      <c r="I26" s="137">
        <f>(M26+N26)/G26</f>
        <v>0.19877531144449334</v>
      </c>
      <c r="J26" s="135">
        <f>SUM(J21:J25)</f>
        <v>92</v>
      </c>
      <c r="K26" s="135">
        <f>SUM(K21:K25)</f>
        <v>4</v>
      </c>
      <c r="L26" s="135">
        <f>SUM(L21:L25)</f>
        <v>20</v>
      </c>
      <c r="M26" s="134">
        <f>SUM(M21:M25)</f>
        <v>65094.459999999992</v>
      </c>
      <c r="N26" s="136">
        <f>SUM(N21:N25)</f>
        <v>3164</v>
      </c>
    </row>
    <row r="27" spans="3:14" ht="15" thickBot="1" x14ac:dyDescent="0.4"/>
    <row r="28" spans="3:14" ht="15" thickBot="1" x14ac:dyDescent="0.4">
      <c r="C28" s="289" t="s">
        <v>123</v>
      </c>
      <c r="D28" s="291"/>
    </row>
    <row r="29" spans="3:14" ht="15" thickBot="1" x14ac:dyDescent="0.4"/>
    <row r="30" spans="3:14" ht="30.5" thickBot="1" x14ac:dyDescent="0.4">
      <c r="C30" s="103" t="s">
        <v>36</v>
      </c>
      <c r="D30" s="104" t="s">
        <v>63</v>
      </c>
      <c r="E30" s="105" t="s">
        <v>22</v>
      </c>
      <c r="F30" s="105" t="s">
        <v>64</v>
      </c>
      <c r="G30" s="105" t="s">
        <v>65</v>
      </c>
      <c r="H30" s="105" t="s">
        <v>61</v>
      </c>
      <c r="I30" s="105" t="s">
        <v>62</v>
      </c>
      <c r="J30" s="105" t="s">
        <v>90</v>
      </c>
      <c r="K30" s="105" t="s">
        <v>91</v>
      </c>
      <c r="L30" s="105" t="s">
        <v>87</v>
      </c>
      <c r="M30" s="105" t="s">
        <v>68</v>
      </c>
      <c r="N30" s="106" t="s">
        <v>69</v>
      </c>
    </row>
    <row r="31" spans="3:14" x14ac:dyDescent="0.35">
      <c r="C31" s="107" t="s">
        <v>70</v>
      </c>
      <c r="D31" s="108">
        <v>1959</v>
      </c>
      <c r="E31" s="126">
        <v>96523.987800000003</v>
      </c>
      <c r="F31" s="109">
        <v>68949.523432000002</v>
      </c>
      <c r="G31" s="109">
        <f>E31-F31</f>
        <v>27574.464368000001</v>
      </c>
      <c r="H31" s="130">
        <f>(M31+N31)/E31</f>
        <v>0</v>
      </c>
      <c r="I31" s="130">
        <f>(M31+N31)/G31</f>
        <v>0</v>
      </c>
      <c r="J31" s="110">
        <v>0</v>
      </c>
      <c r="K31" s="110">
        <v>0</v>
      </c>
      <c r="L31" s="110">
        <v>0</v>
      </c>
      <c r="M31" s="109">
        <v>0</v>
      </c>
      <c r="N31" s="111">
        <v>0</v>
      </c>
    </row>
    <row r="32" spans="3:14" x14ac:dyDescent="0.35">
      <c r="C32" s="112" t="s">
        <v>82</v>
      </c>
      <c r="D32" s="113">
        <v>5446</v>
      </c>
      <c r="E32" s="127">
        <v>275448.48940000002</v>
      </c>
      <c r="F32" s="114">
        <v>197718.42464574843</v>
      </c>
      <c r="G32" s="109">
        <f t="shared" ref="G32:G35" si="6">E32-F32</f>
        <v>77730.064754251594</v>
      </c>
      <c r="H32" s="130">
        <f>(M32+N32)/E32</f>
        <v>0</v>
      </c>
      <c r="I32" s="130">
        <f>(M32+N32)/G32</f>
        <v>0</v>
      </c>
      <c r="J32" s="115">
        <v>1</v>
      </c>
      <c r="K32" s="115">
        <v>0</v>
      </c>
      <c r="L32" s="115">
        <v>1</v>
      </c>
      <c r="M32" s="114">
        <v>0</v>
      </c>
      <c r="N32" s="116">
        <v>0</v>
      </c>
    </row>
    <row r="33" spans="3:14" x14ac:dyDescent="0.35">
      <c r="C33" s="112" t="s">
        <v>83</v>
      </c>
      <c r="D33" s="113">
        <v>4358</v>
      </c>
      <c r="E33" s="127">
        <v>228959.6882</v>
      </c>
      <c r="F33" s="114">
        <v>171537.9705784003</v>
      </c>
      <c r="G33" s="109">
        <f t="shared" si="6"/>
        <v>57421.717621599702</v>
      </c>
      <c r="H33" s="130">
        <f t="shared" ref="H33:H35" si="7">(M33+N33)/E33</f>
        <v>5.2109915478125636E-2</v>
      </c>
      <c r="I33" s="130">
        <f t="shared" ref="I33:I35" si="8">(M33+N33)/G33</f>
        <v>0.20777974770145188</v>
      </c>
      <c r="J33" s="115">
        <v>16</v>
      </c>
      <c r="K33" s="115">
        <v>5</v>
      </c>
      <c r="L33" s="115">
        <v>5</v>
      </c>
      <c r="M33" s="114">
        <v>10028.92</v>
      </c>
      <c r="N33" s="116">
        <v>1902.15</v>
      </c>
    </row>
    <row r="34" spans="3:14" x14ac:dyDescent="0.35">
      <c r="C34" s="112" t="s">
        <v>84</v>
      </c>
      <c r="D34" s="113">
        <v>6971</v>
      </c>
      <c r="E34" s="127">
        <v>373970.17830000003</v>
      </c>
      <c r="F34" s="114">
        <v>290343.5903478153</v>
      </c>
      <c r="G34" s="109">
        <f t="shared" si="6"/>
        <v>83626.587952184724</v>
      </c>
      <c r="H34" s="130">
        <f t="shared" si="7"/>
        <v>0.11680396602361917</v>
      </c>
      <c r="I34" s="130">
        <f t="shared" si="8"/>
        <v>0.52233626971574709</v>
      </c>
      <c r="J34" s="115">
        <v>129</v>
      </c>
      <c r="K34" s="115">
        <v>7</v>
      </c>
      <c r="L34" s="115">
        <v>13</v>
      </c>
      <c r="M34" s="114">
        <v>41386.400000000001</v>
      </c>
      <c r="N34" s="116">
        <v>2294.8000000000002</v>
      </c>
    </row>
    <row r="35" spans="3:14" x14ac:dyDescent="0.35">
      <c r="C35" s="112" t="s">
        <v>85</v>
      </c>
      <c r="D35" s="117">
        <v>15420</v>
      </c>
      <c r="E35" s="128">
        <v>740774.77190000005</v>
      </c>
      <c r="F35" s="118">
        <v>603566.72343999718</v>
      </c>
      <c r="G35" s="109">
        <f t="shared" si="6"/>
        <v>137208.04846000287</v>
      </c>
      <c r="H35" s="130">
        <f t="shared" si="7"/>
        <v>2.5455497021901211E-2</v>
      </c>
      <c r="I35" s="130">
        <f t="shared" si="8"/>
        <v>0.13743209827444555</v>
      </c>
      <c r="J35" s="119">
        <v>31</v>
      </c>
      <c r="K35" s="119">
        <v>0</v>
      </c>
      <c r="L35" s="119">
        <v>1</v>
      </c>
      <c r="M35" s="118">
        <v>18856.79</v>
      </c>
      <c r="N35" s="120">
        <v>0</v>
      </c>
    </row>
    <row r="36" spans="3:14" ht="15" thickBot="1" x14ac:dyDescent="0.4">
      <c r="C36" s="221" t="s">
        <v>102</v>
      </c>
      <c r="D36" s="132">
        <f>SUM(D31:D35)</f>
        <v>34154</v>
      </c>
      <c r="E36" s="133">
        <f>SUM(E31:E35)</f>
        <v>1715677.1156000001</v>
      </c>
      <c r="F36" s="134">
        <f>SUM(F31:F35)</f>
        <v>1332116.2324439613</v>
      </c>
      <c r="G36" s="134">
        <f>SUM(G31:G35)</f>
        <v>383560.88315603888</v>
      </c>
      <c r="H36" s="137">
        <f>(M36+N36)/E36</f>
        <v>4.3405055253626181E-2</v>
      </c>
      <c r="I36" s="137">
        <f>(M36+N36)/G36</f>
        <v>0.19415186289918088</v>
      </c>
      <c r="J36" s="135">
        <f>SUM(J31:J35)</f>
        <v>177</v>
      </c>
      <c r="K36" s="124">
        <f>SUM(K31:K35)</f>
        <v>12</v>
      </c>
      <c r="L36" s="124">
        <f>SUM(L31:L35)</f>
        <v>20</v>
      </c>
      <c r="M36" s="123">
        <f>SUM(M31:M35)</f>
        <v>70272.11</v>
      </c>
      <c r="N36" s="125">
        <f>SUM(N31:N35)</f>
        <v>4196.9500000000007</v>
      </c>
    </row>
    <row r="38" spans="3:14" ht="15" thickBot="1" x14ac:dyDescent="0.4"/>
    <row r="39" spans="3:14" ht="15" thickBot="1" x14ac:dyDescent="0.4">
      <c r="C39" s="289" t="s">
        <v>92</v>
      </c>
      <c r="D39" s="291"/>
    </row>
    <row r="40" spans="3:14" ht="15" thickBot="1" x14ac:dyDescent="0.4"/>
    <row r="41" spans="3:14" ht="30.5" thickBot="1" x14ac:dyDescent="0.4">
      <c r="C41" s="103" t="s">
        <v>36</v>
      </c>
      <c r="D41" s="104" t="s">
        <v>63</v>
      </c>
      <c r="E41" s="105" t="s">
        <v>22</v>
      </c>
      <c r="F41" s="105" t="s">
        <v>64</v>
      </c>
      <c r="G41" s="105" t="s">
        <v>65</v>
      </c>
      <c r="H41" s="105" t="s">
        <v>61</v>
      </c>
      <c r="I41" s="105" t="s">
        <v>62</v>
      </c>
      <c r="J41" s="105" t="s">
        <v>90</v>
      </c>
      <c r="K41" s="105" t="s">
        <v>91</v>
      </c>
      <c r="L41" s="105" t="s">
        <v>87</v>
      </c>
      <c r="M41" s="105" t="s">
        <v>68</v>
      </c>
      <c r="N41" s="106" t="s">
        <v>69</v>
      </c>
    </row>
    <row r="42" spans="3:14" x14ac:dyDescent="0.35">
      <c r="C42" s="107" t="s">
        <v>70</v>
      </c>
      <c r="D42" s="108">
        <f t="shared" ref="D42:G46" si="9">D11+D21+D31</f>
        <v>10343</v>
      </c>
      <c r="E42" s="126">
        <f t="shared" si="9"/>
        <v>455257.92779999995</v>
      </c>
      <c r="F42" s="109">
        <f t="shared" si="9"/>
        <v>359371.9132477211</v>
      </c>
      <c r="G42" s="109">
        <f t="shared" si="9"/>
        <v>95886.014552278823</v>
      </c>
      <c r="H42" s="130">
        <f>(M42+N42)/E42</f>
        <v>6.1301952795999176E-3</v>
      </c>
      <c r="I42" s="130">
        <f>(M42+N42)/G42</f>
        <v>2.9105600154842114E-2</v>
      </c>
      <c r="J42" s="110">
        <f t="shared" ref="J42:N46" si="10">J11+J21+J31</f>
        <v>4</v>
      </c>
      <c r="K42" s="110">
        <f t="shared" si="10"/>
        <v>0</v>
      </c>
      <c r="L42" s="110">
        <f t="shared" si="10"/>
        <v>0</v>
      </c>
      <c r="M42" s="109">
        <f t="shared" si="10"/>
        <v>2790.8199999999997</v>
      </c>
      <c r="N42" s="111">
        <f t="shared" si="10"/>
        <v>0</v>
      </c>
    </row>
    <row r="43" spans="3:14" x14ac:dyDescent="0.35">
      <c r="C43" s="112" t="s">
        <v>82</v>
      </c>
      <c r="D43" s="113">
        <f t="shared" si="9"/>
        <v>29247</v>
      </c>
      <c r="E43" s="127">
        <f t="shared" si="9"/>
        <v>1338790.0893999995</v>
      </c>
      <c r="F43" s="114">
        <f t="shared" si="9"/>
        <v>1066984.3939657002</v>
      </c>
      <c r="G43" s="109">
        <f t="shared" si="9"/>
        <v>271805.6954342993</v>
      </c>
      <c r="H43" s="130">
        <f>(M43+N43)/E43</f>
        <v>5.4114532646763729E-3</v>
      </c>
      <c r="I43" s="130">
        <f>(M43+N43)/G43</f>
        <v>2.6654334775524265E-2</v>
      </c>
      <c r="J43" s="115">
        <f t="shared" si="10"/>
        <v>9</v>
      </c>
      <c r="K43" s="115">
        <f t="shared" si="10"/>
        <v>2</v>
      </c>
      <c r="L43" s="115">
        <f t="shared" si="10"/>
        <v>12</v>
      </c>
      <c r="M43" s="114">
        <f t="shared" si="10"/>
        <v>5672.8</v>
      </c>
      <c r="N43" s="116">
        <f t="shared" si="10"/>
        <v>1572</v>
      </c>
    </row>
    <row r="44" spans="3:14" x14ac:dyDescent="0.35">
      <c r="C44" s="112" t="s">
        <v>83</v>
      </c>
      <c r="D44" s="108">
        <f t="shared" si="9"/>
        <v>22974</v>
      </c>
      <c r="E44" s="126">
        <f t="shared" si="9"/>
        <v>1098186.0281999996</v>
      </c>
      <c r="F44" s="109">
        <f t="shared" si="9"/>
        <v>896049.29051477008</v>
      </c>
      <c r="G44" s="109">
        <f t="shared" si="9"/>
        <v>202136.73768522954</v>
      </c>
      <c r="H44" s="130">
        <f t="shared" ref="H44:H46" si="11">(M44+N44)/E44</f>
        <v>1.3779550651179926E-2</v>
      </c>
      <c r="I44" s="130">
        <f t="shared" ref="I44:I46" si="12">(M44+N44)/G44</f>
        <v>7.4862739813108981E-2</v>
      </c>
      <c r="J44" s="110">
        <f t="shared" si="10"/>
        <v>27</v>
      </c>
      <c r="K44" s="110">
        <f t="shared" si="10"/>
        <v>6</v>
      </c>
      <c r="L44" s="110">
        <f t="shared" si="10"/>
        <v>8</v>
      </c>
      <c r="M44" s="109">
        <f t="shared" si="10"/>
        <v>12434.36</v>
      </c>
      <c r="N44" s="111">
        <f t="shared" si="10"/>
        <v>2698.15</v>
      </c>
    </row>
    <row r="45" spans="3:14" x14ac:dyDescent="0.35">
      <c r="C45" s="112" t="s">
        <v>84</v>
      </c>
      <c r="D45" s="113">
        <f t="shared" si="9"/>
        <v>30987</v>
      </c>
      <c r="E45" s="127">
        <f t="shared" si="9"/>
        <v>1551513.5382999992</v>
      </c>
      <c r="F45" s="114">
        <f t="shared" si="9"/>
        <v>1278779.2866820581</v>
      </c>
      <c r="G45" s="109">
        <f t="shared" si="9"/>
        <v>272734.25161794107</v>
      </c>
      <c r="H45" s="130">
        <f t="shared" si="11"/>
        <v>5.1057240587663429E-2</v>
      </c>
      <c r="I45" s="130">
        <f t="shared" si="12"/>
        <v>0.29045123423283664</v>
      </c>
      <c r="J45" s="115">
        <f t="shared" si="10"/>
        <v>217</v>
      </c>
      <c r="K45" s="115">
        <f t="shared" si="10"/>
        <v>8</v>
      </c>
      <c r="L45" s="115">
        <f t="shared" si="10"/>
        <v>31</v>
      </c>
      <c r="M45" s="114">
        <f t="shared" si="10"/>
        <v>76125.200000000012</v>
      </c>
      <c r="N45" s="116">
        <f t="shared" si="10"/>
        <v>3090.8</v>
      </c>
    </row>
    <row r="46" spans="3:14" x14ac:dyDescent="0.35">
      <c r="C46" s="112" t="s">
        <v>85</v>
      </c>
      <c r="D46" s="108">
        <f t="shared" si="9"/>
        <v>47324</v>
      </c>
      <c r="E46" s="126">
        <f t="shared" si="9"/>
        <v>2319355.2319</v>
      </c>
      <c r="F46" s="109">
        <f t="shared" si="9"/>
        <v>1919583.7014825912</v>
      </c>
      <c r="G46" s="109">
        <f t="shared" si="9"/>
        <v>399771.53041740868</v>
      </c>
      <c r="H46" s="130">
        <f t="shared" si="11"/>
        <v>2.9275562909083324E-2</v>
      </c>
      <c r="I46" s="130">
        <f t="shared" si="12"/>
        <v>0.16984808780431146</v>
      </c>
      <c r="J46" s="110">
        <f t="shared" si="10"/>
        <v>304</v>
      </c>
      <c r="K46" s="110">
        <f t="shared" si="10"/>
        <v>2</v>
      </c>
      <c r="L46" s="110">
        <f t="shared" si="10"/>
        <v>98</v>
      </c>
      <c r="M46" s="109">
        <f t="shared" si="10"/>
        <v>67900.429999999993</v>
      </c>
      <c r="N46" s="111">
        <f t="shared" si="10"/>
        <v>0</v>
      </c>
    </row>
    <row r="47" spans="3:14" ht="15" thickBot="1" x14ac:dyDescent="0.4">
      <c r="C47" s="221" t="s">
        <v>102</v>
      </c>
      <c r="D47" s="122">
        <f>SUM(D42:D46)</f>
        <v>140875</v>
      </c>
      <c r="E47" s="129">
        <f>SUM(E42:E46)</f>
        <v>6763102.8155999985</v>
      </c>
      <c r="F47" s="123">
        <f>SUM(F42:F46)</f>
        <v>5520768.5858928412</v>
      </c>
      <c r="G47" s="134">
        <f>SUM(G42:G46)</f>
        <v>1242334.2297071572</v>
      </c>
      <c r="H47" s="137">
        <f>(M47+N47)/E47</f>
        <v>2.5474189095957951E-2</v>
      </c>
      <c r="I47" s="137">
        <f>(M47+N47)/G47</f>
        <v>0.13867810761409261</v>
      </c>
      <c r="J47" s="135">
        <f>SUM(J42:J46)</f>
        <v>561</v>
      </c>
      <c r="K47" s="124">
        <f>SUM(K42:K46)</f>
        <v>18</v>
      </c>
      <c r="L47" s="124">
        <f>SUM(L42:L46)</f>
        <v>149</v>
      </c>
      <c r="M47" s="123">
        <f>SUM(M42:M46)</f>
        <v>164923.60999999999</v>
      </c>
      <c r="N47" s="125">
        <f>SUM(N42:N46)</f>
        <v>7360.95</v>
      </c>
    </row>
  </sheetData>
  <mergeCells count="5">
    <mergeCell ref="C8:D8"/>
    <mergeCell ref="C18:D18"/>
    <mergeCell ref="C28:D28"/>
    <mergeCell ref="C39:D39"/>
    <mergeCell ref="E3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3:N51"/>
  <sheetViews>
    <sheetView topLeftCell="A7" zoomScaleNormal="100" workbookViewId="0">
      <selection activeCell="F22" sqref="F22"/>
    </sheetView>
  </sheetViews>
  <sheetFormatPr defaultRowHeight="14.5" x14ac:dyDescent="0.35"/>
  <cols>
    <col min="3" max="3" width="8.54296875" customWidth="1"/>
    <col min="4" max="4" width="16.453125" customWidth="1"/>
    <col min="5" max="5" width="16" customWidth="1"/>
    <col min="6" max="6" width="16.81640625" customWidth="1"/>
    <col min="7" max="7" width="15.81640625" customWidth="1"/>
    <col min="8" max="8" width="13.54296875" customWidth="1"/>
    <col min="9" max="9" width="14.81640625" customWidth="1"/>
    <col min="10" max="10" width="15.1796875" customWidth="1"/>
    <col min="11" max="14" width="12.453125" customWidth="1"/>
  </cols>
  <sheetData>
    <row r="3" spans="3:14" ht="15" customHeight="1" x14ac:dyDescent="0.35">
      <c r="D3" s="309" t="s">
        <v>101</v>
      </c>
      <c r="E3" s="309"/>
      <c r="F3" s="309"/>
      <c r="G3" s="309"/>
      <c r="H3" s="309"/>
      <c r="I3" s="309"/>
      <c r="J3" s="309"/>
      <c r="K3" s="309"/>
      <c r="L3" s="309"/>
      <c r="M3" s="309"/>
    </row>
    <row r="4" spans="3:14" ht="15.75" customHeight="1" x14ac:dyDescent="0.35">
      <c r="D4" s="309"/>
      <c r="E4" s="309"/>
      <c r="F4" s="309"/>
      <c r="G4" s="309"/>
      <c r="H4" s="309"/>
      <c r="I4" s="309"/>
      <c r="J4" s="309"/>
      <c r="K4" s="309"/>
      <c r="L4" s="309"/>
      <c r="M4" s="309"/>
    </row>
    <row r="7" spans="3:14" ht="15" thickBot="1" x14ac:dyDescent="0.4"/>
    <row r="8" spans="3:14" ht="15" thickBot="1" x14ac:dyDescent="0.4">
      <c r="C8" s="289" t="s">
        <v>121</v>
      </c>
      <c r="D8" s="291"/>
    </row>
    <row r="9" spans="3:14" ht="15" thickBot="1" x14ac:dyDescent="0.4"/>
    <row r="10" spans="3:14" ht="30.5" thickBot="1" x14ac:dyDescent="0.4">
      <c r="C10" s="103" t="s">
        <v>36</v>
      </c>
      <c r="D10" s="104" t="s">
        <v>63</v>
      </c>
      <c r="E10" s="105" t="s">
        <v>22</v>
      </c>
      <c r="F10" s="105" t="s">
        <v>64</v>
      </c>
      <c r="G10" s="105" t="s">
        <v>65</v>
      </c>
      <c r="H10" s="105" t="s">
        <v>61</v>
      </c>
      <c r="I10" s="105" t="s">
        <v>62</v>
      </c>
      <c r="J10" s="105" t="s">
        <v>90</v>
      </c>
      <c r="K10" s="105" t="s">
        <v>91</v>
      </c>
      <c r="L10" s="105" t="s">
        <v>87</v>
      </c>
      <c r="M10" s="105" t="s">
        <v>68</v>
      </c>
      <c r="N10" s="106" t="s">
        <v>69</v>
      </c>
    </row>
    <row r="11" spans="3:14" x14ac:dyDescent="0.35">
      <c r="C11" s="107" t="s">
        <v>70</v>
      </c>
      <c r="D11" s="108">
        <v>6642</v>
      </c>
      <c r="E11" s="126">
        <v>257484.79999999996</v>
      </c>
      <c r="F11" s="109">
        <v>219634.06981572113</v>
      </c>
      <c r="G11" s="109">
        <f>E11-F11</f>
        <v>37850.730184278829</v>
      </c>
      <c r="H11" s="130">
        <f>(M11+N11)/E11</f>
        <v>1.0838775725790416E-2</v>
      </c>
      <c r="I11" s="130">
        <f>(M11+N11)/G11</f>
        <v>7.3732263193145936E-2</v>
      </c>
      <c r="J11" s="110">
        <v>4</v>
      </c>
      <c r="K11" s="110">
        <v>0</v>
      </c>
      <c r="L11" s="110">
        <v>0</v>
      </c>
      <c r="M11" s="109">
        <v>2790.8199999999997</v>
      </c>
      <c r="N11" s="111">
        <v>0</v>
      </c>
    </row>
    <row r="12" spans="3:14" x14ac:dyDescent="0.35">
      <c r="C12" s="112" t="s">
        <v>82</v>
      </c>
      <c r="D12" s="113">
        <v>19714</v>
      </c>
      <c r="E12" s="127">
        <v>803870.86999999941</v>
      </c>
      <c r="F12" s="114">
        <v>692173.77931995131</v>
      </c>
      <c r="G12" s="109">
        <f t="shared" ref="G12:G16" si="0">E12-F12</f>
        <v>111697.0906800481</v>
      </c>
      <c r="H12" s="130">
        <f>(M12+N12)/E12</f>
        <v>5.5905620762200323E-3</v>
      </c>
      <c r="I12" s="130">
        <f>(M12+N12)/G12</f>
        <v>4.0234620012379221E-2</v>
      </c>
      <c r="J12" s="115">
        <v>7</v>
      </c>
      <c r="K12" s="115">
        <v>0</v>
      </c>
      <c r="L12" s="115">
        <v>1</v>
      </c>
      <c r="M12" s="114">
        <v>4494.09</v>
      </c>
      <c r="N12" s="116">
        <v>0</v>
      </c>
    </row>
    <row r="13" spans="3:14" x14ac:dyDescent="0.35">
      <c r="C13" s="112" t="s">
        <v>83</v>
      </c>
      <c r="D13" s="113">
        <v>16042</v>
      </c>
      <c r="E13" s="127">
        <v>683034.91999999958</v>
      </c>
      <c r="F13" s="114">
        <v>594226.00993636961</v>
      </c>
      <c r="G13" s="109">
        <f t="shared" si="0"/>
        <v>88808.91006362997</v>
      </c>
      <c r="H13" s="130">
        <f t="shared" ref="H13:H16" si="1">(M13+N13)/E13</f>
        <v>3.5216940299333476E-3</v>
      </c>
      <c r="I13" s="130">
        <f t="shared" ref="I13:I16" si="2">(M13+N13)/G13</f>
        <v>2.70855705612933E-2</v>
      </c>
      <c r="J13" s="115">
        <v>11</v>
      </c>
      <c r="K13" s="115">
        <v>0</v>
      </c>
      <c r="L13" s="115">
        <v>1</v>
      </c>
      <c r="M13" s="114">
        <v>2405.44</v>
      </c>
      <c r="N13" s="116">
        <v>0</v>
      </c>
    </row>
    <row r="14" spans="3:14" x14ac:dyDescent="0.35">
      <c r="C14" s="112" t="s">
        <v>84</v>
      </c>
      <c r="D14" s="113">
        <v>21075</v>
      </c>
      <c r="E14" s="127">
        <v>946757.37999999919</v>
      </c>
      <c r="F14" s="114">
        <v>827461.16633424256</v>
      </c>
      <c r="G14" s="109">
        <f t="shared" si="0"/>
        <v>119296.21366575663</v>
      </c>
      <c r="H14" s="130">
        <f t="shared" si="1"/>
        <v>7.558620773571373E-3</v>
      </c>
      <c r="I14" s="130">
        <f t="shared" si="2"/>
        <v>5.9986648193631191E-2</v>
      </c>
      <c r="J14" s="115">
        <v>59</v>
      </c>
      <c r="K14" s="115">
        <v>0</v>
      </c>
      <c r="L14" s="115">
        <v>18</v>
      </c>
      <c r="M14" s="114">
        <v>7156.18</v>
      </c>
      <c r="N14" s="116">
        <v>0</v>
      </c>
    </row>
    <row r="15" spans="3:14" x14ac:dyDescent="0.35">
      <c r="C15" s="112" t="s">
        <v>85</v>
      </c>
      <c r="D15" s="117">
        <v>26337</v>
      </c>
      <c r="E15" s="128">
        <v>1220369.9100000001</v>
      </c>
      <c r="F15" s="118">
        <v>1062644.5680425926</v>
      </c>
      <c r="G15" s="109">
        <f t="shared" si="0"/>
        <v>157725.34195740754</v>
      </c>
      <c r="H15" s="130">
        <f t="shared" si="1"/>
        <v>1.0415292851656755E-2</v>
      </c>
      <c r="I15" s="130">
        <f t="shared" si="2"/>
        <v>8.0586352467267891E-2</v>
      </c>
      <c r="J15" s="119">
        <v>211</v>
      </c>
      <c r="K15" s="119">
        <v>2</v>
      </c>
      <c r="L15" s="119">
        <v>89</v>
      </c>
      <c r="M15" s="118">
        <v>12710.51</v>
      </c>
      <c r="N15" s="120">
        <v>0</v>
      </c>
    </row>
    <row r="16" spans="3:14" x14ac:dyDescent="0.35">
      <c r="C16" s="200" t="s">
        <v>86</v>
      </c>
      <c r="D16" s="201">
        <v>4871</v>
      </c>
      <c r="E16" s="202">
        <v>245475.91000000003</v>
      </c>
      <c r="F16" s="203">
        <v>188498.59100000013</v>
      </c>
      <c r="G16" s="204">
        <f t="shared" si="0"/>
        <v>56977.318999999901</v>
      </c>
      <c r="H16" s="205">
        <f t="shared" si="1"/>
        <v>9.9358833215039289E-3</v>
      </c>
      <c r="I16" s="205">
        <f t="shared" si="2"/>
        <v>4.280685793587452E-2</v>
      </c>
      <c r="J16" s="206">
        <v>161</v>
      </c>
      <c r="K16" s="206">
        <v>0</v>
      </c>
      <c r="L16" s="206">
        <v>131</v>
      </c>
      <c r="M16" s="203">
        <v>2439.02</v>
      </c>
      <c r="N16" s="207">
        <v>0</v>
      </c>
    </row>
    <row r="17" spans="3:14" ht="15" thickBot="1" x14ac:dyDescent="0.4">
      <c r="C17" s="221" t="s">
        <v>102</v>
      </c>
      <c r="D17" s="132">
        <f>SUM(D11:D16)</f>
        <v>94681</v>
      </c>
      <c r="E17" s="133">
        <f>SUM(E11:E16)</f>
        <v>4156993.7899999982</v>
      </c>
      <c r="F17" s="134">
        <f>SUM(F11:F16)</f>
        <v>3584638.1844488773</v>
      </c>
      <c r="G17" s="134">
        <f>SUM(G11:G16)</f>
        <v>572355.60555112094</v>
      </c>
      <c r="H17" s="137">
        <f>(M17+N17)/E17</f>
        <v>7.6969227322324233E-3</v>
      </c>
      <c r="I17" s="137">
        <f>(M17+N17)/G17</f>
        <v>5.5902413970753392E-2</v>
      </c>
      <c r="J17" s="135">
        <f>SUM(J11:J16)</f>
        <v>453</v>
      </c>
      <c r="K17" s="135">
        <f>SUM(K11:K16)</f>
        <v>2</v>
      </c>
      <c r="L17" s="135">
        <f>SUM(L11:L16)</f>
        <v>240</v>
      </c>
      <c r="M17" s="134">
        <f>SUM(M11:M16)</f>
        <v>31996.06</v>
      </c>
      <c r="N17" s="136">
        <f>SUM(N11:N16)</f>
        <v>0</v>
      </c>
    </row>
    <row r="18" spans="3:14" ht="15" thickBot="1" x14ac:dyDescent="0.4"/>
    <row r="19" spans="3:14" ht="15" thickBot="1" x14ac:dyDescent="0.4">
      <c r="C19" s="289" t="s">
        <v>122</v>
      </c>
      <c r="D19" s="291"/>
    </row>
    <row r="20" spans="3:14" ht="15" thickBot="1" x14ac:dyDescent="0.4"/>
    <row r="21" spans="3:14" ht="30.5" thickBot="1" x14ac:dyDescent="0.4">
      <c r="C21" s="103" t="s">
        <v>36</v>
      </c>
      <c r="D21" s="104" t="s">
        <v>63</v>
      </c>
      <c r="E21" s="105" t="s">
        <v>22</v>
      </c>
      <c r="F21" s="105" t="s">
        <v>64</v>
      </c>
      <c r="G21" s="105" t="s">
        <v>65</v>
      </c>
      <c r="H21" s="105" t="s">
        <v>61</v>
      </c>
      <c r="I21" s="105" t="s">
        <v>62</v>
      </c>
      <c r="J21" s="105" t="s">
        <v>90</v>
      </c>
      <c r="K21" s="105" t="s">
        <v>91</v>
      </c>
      <c r="L21" s="105" t="s">
        <v>87</v>
      </c>
      <c r="M21" s="105" t="s">
        <v>68</v>
      </c>
      <c r="N21" s="106" t="s">
        <v>69</v>
      </c>
    </row>
    <row r="22" spans="3:14" x14ac:dyDescent="0.35">
      <c r="C22" s="107" t="s">
        <v>70</v>
      </c>
      <c r="D22" s="108">
        <v>1742</v>
      </c>
      <c r="E22" s="126">
        <v>101249.13999999997</v>
      </c>
      <c r="F22" s="109">
        <v>70788.319999999978</v>
      </c>
      <c r="G22" s="109">
        <f>E22-F22</f>
        <v>30460.819999999992</v>
      </c>
      <c r="H22" s="130">
        <f>(M22+N22)/E22</f>
        <v>0</v>
      </c>
      <c r="I22" s="130">
        <f>(M22+N22)/G22</f>
        <v>0</v>
      </c>
      <c r="J22" s="110">
        <v>0</v>
      </c>
      <c r="K22" s="110">
        <v>0</v>
      </c>
      <c r="L22" s="110">
        <v>0</v>
      </c>
      <c r="M22" s="109">
        <v>0</v>
      </c>
      <c r="N22" s="111">
        <v>0</v>
      </c>
    </row>
    <row r="23" spans="3:14" x14ac:dyDescent="0.35">
      <c r="C23" s="112" t="s">
        <v>82</v>
      </c>
      <c r="D23" s="113">
        <v>4087</v>
      </c>
      <c r="E23" s="127">
        <v>259470.73000000004</v>
      </c>
      <c r="F23" s="114">
        <v>177092.19000000041</v>
      </c>
      <c r="G23" s="109">
        <f t="shared" ref="G23:G26" si="3">E23-F23</f>
        <v>82378.53999999963</v>
      </c>
      <c r="H23" s="130">
        <f>(M23+N23)/E23</f>
        <v>1.0601234289509263E-2</v>
      </c>
      <c r="I23" s="130">
        <f>(M23+N23)/G23</f>
        <v>3.3391099186754369E-2</v>
      </c>
      <c r="J23" s="115">
        <v>1</v>
      </c>
      <c r="K23" s="115">
        <v>2</v>
      </c>
      <c r="L23" s="115">
        <v>10</v>
      </c>
      <c r="M23" s="114">
        <v>1178.71</v>
      </c>
      <c r="N23" s="116">
        <v>1572</v>
      </c>
    </row>
    <row r="24" spans="3:14" x14ac:dyDescent="0.35">
      <c r="C24" s="112" t="s">
        <v>83</v>
      </c>
      <c r="D24" s="113">
        <v>2574</v>
      </c>
      <c r="E24" s="127">
        <v>186191.42000000004</v>
      </c>
      <c r="F24" s="114">
        <v>130285.31000000016</v>
      </c>
      <c r="G24" s="109">
        <f t="shared" si="3"/>
        <v>55906.109999999884</v>
      </c>
      <c r="H24" s="130">
        <f t="shared" ref="H24:H27" si="4">(M24+N24)/E24</f>
        <v>4.2751701447897002E-3</v>
      </c>
      <c r="I24" s="130">
        <f t="shared" ref="I24:I27" si="5">(M24+N24)/G24</f>
        <v>1.4238157510869593E-2</v>
      </c>
      <c r="J24" s="115">
        <v>0</v>
      </c>
      <c r="K24" s="115">
        <v>1</v>
      </c>
      <c r="L24" s="115">
        <v>2</v>
      </c>
      <c r="M24" s="114">
        <v>0</v>
      </c>
      <c r="N24" s="116">
        <v>796</v>
      </c>
    </row>
    <row r="25" spans="3:14" x14ac:dyDescent="0.35">
      <c r="C25" s="112" t="s">
        <v>84</v>
      </c>
      <c r="D25" s="113">
        <v>2941</v>
      </c>
      <c r="E25" s="127">
        <v>230785.97999999998</v>
      </c>
      <c r="F25" s="114">
        <v>160974.53000000023</v>
      </c>
      <c r="G25" s="109">
        <f t="shared" si="3"/>
        <v>69811.44999999975</v>
      </c>
      <c r="H25" s="130">
        <f t="shared" si="4"/>
        <v>0.12296509519339087</v>
      </c>
      <c r="I25" s="130">
        <f t="shared" si="5"/>
        <v>0.406503804175391</v>
      </c>
      <c r="J25" s="115">
        <v>29</v>
      </c>
      <c r="K25" s="115">
        <v>1</v>
      </c>
      <c r="L25" s="115">
        <v>0</v>
      </c>
      <c r="M25" s="114">
        <v>27582.62</v>
      </c>
      <c r="N25" s="116">
        <v>796</v>
      </c>
    </row>
    <row r="26" spans="3:14" x14ac:dyDescent="0.35">
      <c r="C26" s="112" t="s">
        <v>85</v>
      </c>
      <c r="D26" s="117">
        <v>5567</v>
      </c>
      <c r="E26" s="128">
        <v>358210.54999999987</v>
      </c>
      <c r="F26" s="118">
        <v>253372.41000000158</v>
      </c>
      <c r="G26" s="109">
        <f t="shared" si="3"/>
        <v>104838.1399999983</v>
      </c>
      <c r="H26" s="130">
        <f t="shared" si="4"/>
        <v>0.10142953634391844</v>
      </c>
      <c r="I26" s="130">
        <f t="shared" si="5"/>
        <v>0.34656404625263848</v>
      </c>
      <c r="J26" s="119">
        <v>62</v>
      </c>
      <c r="K26" s="119">
        <v>0</v>
      </c>
      <c r="L26" s="119">
        <v>8</v>
      </c>
      <c r="M26" s="118">
        <v>36333.129999999997</v>
      </c>
      <c r="N26" s="120">
        <v>0</v>
      </c>
    </row>
    <row r="27" spans="3:14" x14ac:dyDescent="0.35">
      <c r="C27" s="208" t="s">
        <v>86</v>
      </c>
      <c r="D27" s="216">
        <v>967</v>
      </c>
      <c r="E27" s="217">
        <v>45504</v>
      </c>
      <c r="F27" s="218">
        <v>31396.419999999962</v>
      </c>
      <c r="G27" s="212">
        <f>E27-F27</f>
        <v>14107.580000000038</v>
      </c>
      <c r="H27" s="213">
        <f t="shared" si="4"/>
        <v>0.34505384142053447</v>
      </c>
      <c r="I27" s="213">
        <f t="shared" si="5"/>
        <v>1.112971182867647</v>
      </c>
      <c r="J27" s="219">
        <v>33</v>
      </c>
      <c r="K27" s="219">
        <v>0</v>
      </c>
      <c r="L27" s="219">
        <v>5</v>
      </c>
      <c r="M27" s="218">
        <v>15701.33</v>
      </c>
      <c r="N27" s="220">
        <v>0</v>
      </c>
    </row>
    <row r="28" spans="3:14" ht="15" thickBot="1" x14ac:dyDescent="0.4">
      <c r="C28" s="221" t="s">
        <v>102</v>
      </c>
      <c r="D28" s="132">
        <f>SUM(D22:D27)</f>
        <v>17878</v>
      </c>
      <c r="E28" s="133">
        <f>SUM(E22:E27)</f>
        <v>1181411.8199999998</v>
      </c>
      <c r="F28" s="134">
        <f>SUM(F22:F27)</f>
        <v>823909.18000000226</v>
      </c>
      <c r="G28" s="134">
        <f>SUM(G22:G27)</f>
        <v>357502.63999999757</v>
      </c>
      <c r="H28" s="137">
        <f>(M28+N28)/E28</f>
        <v>7.1067335351359534E-2</v>
      </c>
      <c r="I28" s="137">
        <f>(M28+N28)/G28</f>
        <v>0.23485082515754446</v>
      </c>
      <c r="J28" s="135">
        <f>SUM(J22:J27)</f>
        <v>125</v>
      </c>
      <c r="K28" s="135">
        <f>SUM(K22:K27)</f>
        <v>4</v>
      </c>
      <c r="L28" s="135">
        <f>SUM(L22:L27)</f>
        <v>25</v>
      </c>
      <c r="M28" s="134">
        <f>SUM(M22:M27)</f>
        <v>80795.789999999994</v>
      </c>
      <c r="N28" s="136">
        <f>SUM(N22:N27)</f>
        <v>3164</v>
      </c>
    </row>
    <row r="29" spans="3:14" ht="15" thickBot="1" x14ac:dyDescent="0.4"/>
    <row r="30" spans="3:14" ht="15" thickBot="1" x14ac:dyDescent="0.4">
      <c r="C30" s="289" t="s">
        <v>123</v>
      </c>
      <c r="D30" s="291"/>
    </row>
    <row r="31" spans="3:14" ht="15" thickBot="1" x14ac:dyDescent="0.4"/>
    <row r="32" spans="3:14" ht="30.5" thickBot="1" x14ac:dyDescent="0.4">
      <c r="C32" s="103" t="s">
        <v>36</v>
      </c>
      <c r="D32" s="104" t="s">
        <v>63</v>
      </c>
      <c r="E32" s="105" t="s">
        <v>22</v>
      </c>
      <c r="F32" s="105" t="s">
        <v>64</v>
      </c>
      <c r="G32" s="105" t="s">
        <v>65</v>
      </c>
      <c r="H32" s="105" t="s">
        <v>61</v>
      </c>
      <c r="I32" s="105" t="s">
        <v>62</v>
      </c>
      <c r="J32" s="105" t="s">
        <v>90</v>
      </c>
      <c r="K32" s="105" t="s">
        <v>91</v>
      </c>
      <c r="L32" s="105" t="s">
        <v>87</v>
      </c>
      <c r="M32" s="105" t="s">
        <v>68</v>
      </c>
      <c r="N32" s="106" t="s">
        <v>69</v>
      </c>
    </row>
    <row r="33" spans="3:14" x14ac:dyDescent="0.35">
      <c r="C33" s="107" t="s">
        <v>70</v>
      </c>
      <c r="D33" s="108">
        <v>1959</v>
      </c>
      <c r="E33" s="126">
        <v>96523.987800000003</v>
      </c>
      <c r="F33" s="109">
        <v>68949.523432000002</v>
      </c>
      <c r="G33" s="109">
        <f>E33-F33</f>
        <v>27574.464368000001</v>
      </c>
      <c r="H33" s="130">
        <f>(M33+N33)/E33</f>
        <v>0</v>
      </c>
      <c r="I33" s="130">
        <f>(M33+N33)/G33</f>
        <v>0</v>
      </c>
      <c r="J33" s="110">
        <v>0</v>
      </c>
      <c r="K33" s="110">
        <v>0</v>
      </c>
      <c r="L33" s="110">
        <v>0</v>
      </c>
      <c r="M33" s="109">
        <v>0</v>
      </c>
      <c r="N33" s="111">
        <v>0</v>
      </c>
    </row>
    <row r="34" spans="3:14" x14ac:dyDescent="0.35">
      <c r="C34" s="112" t="s">
        <v>82</v>
      </c>
      <c r="D34" s="113">
        <v>5446</v>
      </c>
      <c r="E34" s="127">
        <v>275448.48940000002</v>
      </c>
      <c r="F34" s="114">
        <v>197718.42464574843</v>
      </c>
      <c r="G34" s="109">
        <f t="shared" ref="G34:G38" si="6">E34-F34</f>
        <v>77730.064754251594</v>
      </c>
      <c r="H34" s="130">
        <f>(M34+N34)/E34</f>
        <v>0</v>
      </c>
      <c r="I34" s="130">
        <f>(M34+N34)/G34</f>
        <v>0</v>
      </c>
      <c r="J34" s="115">
        <v>1</v>
      </c>
      <c r="K34" s="115">
        <v>0</v>
      </c>
      <c r="L34" s="115">
        <v>1</v>
      </c>
      <c r="M34" s="114">
        <v>0</v>
      </c>
      <c r="N34" s="116">
        <v>0</v>
      </c>
    </row>
    <row r="35" spans="3:14" x14ac:dyDescent="0.35">
      <c r="C35" s="112" t="s">
        <v>83</v>
      </c>
      <c r="D35" s="113">
        <v>4358</v>
      </c>
      <c r="E35" s="127">
        <v>228959.6882</v>
      </c>
      <c r="F35" s="114">
        <v>171537.9705784003</v>
      </c>
      <c r="G35" s="109">
        <f t="shared" si="6"/>
        <v>57421.717621599702</v>
      </c>
      <c r="H35" s="130">
        <f t="shared" ref="H35:H38" si="7">(M35+N35)/E35</f>
        <v>5.2109915478125636E-2</v>
      </c>
      <c r="I35" s="130">
        <f t="shared" ref="I35:I38" si="8">(M35+N35)/G35</f>
        <v>0.20777974770145188</v>
      </c>
      <c r="J35" s="115">
        <v>16</v>
      </c>
      <c r="K35" s="115">
        <v>5</v>
      </c>
      <c r="L35" s="115">
        <v>5</v>
      </c>
      <c r="M35" s="114">
        <v>10028.92</v>
      </c>
      <c r="N35" s="116">
        <v>1902.15</v>
      </c>
    </row>
    <row r="36" spans="3:14" x14ac:dyDescent="0.35">
      <c r="C36" s="112" t="s">
        <v>84</v>
      </c>
      <c r="D36" s="113">
        <v>6971</v>
      </c>
      <c r="E36" s="127">
        <v>373970.17830000003</v>
      </c>
      <c r="F36" s="114">
        <v>290343.5903478153</v>
      </c>
      <c r="G36" s="109">
        <f t="shared" si="6"/>
        <v>83626.587952184724</v>
      </c>
      <c r="H36" s="130">
        <f t="shared" si="7"/>
        <v>0.11680396602361917</v>
      </c>
      <c r="I36" s="130">
        <f t="shared" si="8"/>
        <v>0.52233626971574709</v>
      </c>
      <c r="J36" s="115">
        <v>129</v>
      </c>
      <c r="K36" s="115">
        <v>7</v>
      </c>
      <c r="L36" s="115">
        <v>13</v>
      </c>
      <c r="M36" s="114">
        <v>41386.400000000001</v>
      </c>
      <c r="N36" s="116">
        <v>2294.8000000000002</v>
      </c>
    </row>
    <row r="37" spans="3:14" x14ac:dyDescent="0.35">
      <c r="C37" s="112" t="s">
        <v>85</v>
      </c>
      <c r="D37" s="117">
        <v>15420</v>
      </c>
      <c r="E37" s="128">
        <v>740774.77190000005</v>
      </c>
      <c r="F37" s="118">
        <v>603566.72343999718</v>
      </c>
      <c r="G37" s="109">
        <f t="shared" si="6"/>
        <v>137208.04846000287</v>
      </c>
      <c r="H37" s="130">
        <f t="shared" si="7"/>
        <v>2.5455497021901211E-2</v>
      </c>
      <c r="I37" s="130">
        <f t="shared" si="8"/>
        <v>0.13743209827444555</v>
      </c>
      <c r="J37" s="119">
        <v>31</v>
      </c>
      <c r="K37" s="119">
        <v>0</v>
      </c>
      <c r="L37" s="119">
        <v>1</v>
      </c>
      <c r="M37" s="118">
        <v>18856.79</v>
      </c>
      <c r="N37" s="120">
        <v>0</v>
      </c>
    </row>
    <row r="38" spans="3:14" x14ac:dyDescent="0.35">
      <c r="C38" s="208" t="s">
        <v>86</v>
      </c>
      <c r="D38" s="216">
        <v>3106</v>
      </c>
      <c r="E38" s="217">
        <v>118294</v>
      </c>
      <c r="F38" s="218">
        <v>88682.700000000041</v>
      </c>
      <c r="G38" s="212">
        <f t="shared" si="6"/>
        <v>29611.299999999959</v>
      </c>
      <c r="H38" s="213">
        <f t="shared" si="7"/>
        <v>6.0019696687913168E-2</v>
      </c>
      <c r="I38" s="213">
        <f t="shared" si="8"/>
        <v>0.23977231664938756</v>
      </c>
      <c r="J38" s="219">
        <v>20</v>
      </c>
      <c r="K38" s="219">
        <v>0</v>
      </c>
      <c r="L38" s="219">
        <v>2</v>
      </c>
      <c r="M38" s="218">
        <v>7099.97</v>
      </c>
      <c r="N38" s="220">
        <v>0</v>
      </c>
    </row>
    <row r="39" spans="3:14" ht="15" thickBot="1" x14ac:dyDescent="0.4">
      <c r="C39" s="221" t="s">
        <v>102</v>
      </c>
      <c r="D39" s="132">
        <f>SUM(D33:D38)</f>
        <v>37260</v>
      </c>
      <c r="E39" s="133">
        <f>SUM(E33:E38)</f>
        <v>1833971.1156000001</v>
      </c>
      <c r="F39" s="134">
        <f>SUM(F33:F38)</f>
        <v>1420798.9324439613</v>
      </c>
      <c r="G39" s="134">
        <f>SUM(G33:G38)</f>
        <v>413172.18315603887</v>
      </c>
      <c r="H39" s="137">
        <f>(M39+N39)/E39</f>
        <v>4.447672556353973E-2</v>
      </c>
      <c r="I39" s="137">
        <f>(M39+N39)/G39</f>
        <v>0.19742139796762306</v>
      </c>
      <c r="J39" s="135">
        <f>SUM(J33:J38)</f>
        <v>197</v>
      </c>
      <c r="K39" s="124">
        <f>SUM(K33:K38)</f>
        <v>12</v>
      </c>
      <c r="L39" s="124">
        <f>SUM(L33:L38)</f>
        <v>22</v>
      </c>
      <c r="M39" s="123">
        <f>SUM(M33:M38)</f>
        <v>77372.08</v>
      </c>
      <c r="N39" s="125">
        <f>SUM(N33:N38)</f>
        <v>4196.9500000000007</v>
      </c>
    </row>
    <row r="41" spans="3:14" ht="15" thickBot="1" x14ac:dyDescent="0.4"/>
    <row r="42" spans="3:14" ht="15" thickBot="1" x14ac:dyDescent="0.4">
      <c r="C42" s="289" t="s">
        <v>92</v>
      </c>
      <c r="D42" s="291"/>
    </row>
    <row r="43" spans="3:14" ht="15" thickBot="1" x14ac:dyDescent="0.4"/>
    <row r="44" spans="3:14" ht="30.5" thickBot="1" x14ac:dyDescent="0.4">
      <c r="C44" s="103" t="s">
        <v>36</v>
      </c>
      <c r="D44" s="104" t="s">
        <v>63</v>
      </c>
      <c r="E44" s="105" t="s">
        <v>22</v>
      </c>
      <c r="F44" s="105" t="s">
        <v>64</v>
      </c>
      <c r="G44" s="105" t="s">
        <v>65</v>
      </c>
      <c r="H44" s="105" t="s">
        <v>61</v>
      </c>
      <c r="I44" s="105" t="s">
        <v>62</v>
      </c>
      <c r="J44" s="105" t="s">
        <v>90</v>
      </c>
      <c r="K44" s="105" t="s">
        <v>91</v>
      </c>
      <c r="L44" s="105" t="s">
        <v>87</v>
      </c>
      <c r="M44" s="105" t="s">
        <v>68</v>
      </c>
      <c r="N44" s="106" t="s">
        <v>69</v>
      </c>
    </row>
    <row r="45" spans="3:14" x14ac:dyDescent="0.35">
      <c r="C45" s="107" t="s">
        <v>70</v>
      </c>
      <c r="D45" s="108">
        <f t="shared" ref="D45:G46" si="9">D11+D22+D33</f>
        <v>10343</v>
      </c>
      <c r="E45" s="126">
        <f t="shared" si="9"/>
        <v>455257.92779999995</v>
      </c>
      <c r="F45" s="109">
        <f t="shared" si="9"/>
        <v>359371.9132477211</v>
      </c>
      <c r="G45" s="109">
        <f t="shared" si="9"/>
        <v>95886.014552278823</v>
      </c>
      <c r="H45" s="130">
        <f>(M45+N45)/E45</f>
        <v>6.1301952795999176E-3</v>
      </c>
      <c r="I45" s="130">
        <f>(M45+N45)/G45</f>
        <v>2.9105600154842114E-2</v>
      </c>
      <c r="J45" s="110">
        <f t="shared" ref="J45:N46" si="10">J11+J22+J33</f>
        <v>4</v>
      </c>
      <c r="K45" s="110">
        <f t="shared" si="10"/>
        <v>0</v>
      </c>
      <c r="L45" s="110">
        <f t="shared" si="10"/>
        <v>0</v>
      </c>
      <c r="M45" s="109">
        <f t="shared" si="10"/>
        <v>2790.8199999999997</v>
      </c>
      <c r="N45" s="111">
        <f t="shared" si="10"/>
        <v>0</v>
      </c>
    </row>
    <row r="46" spans="3:14" x14ac:dyDescent="0.35">
      <c r="C46" s="112" t="s">
        <v>82</v>
      </c>
      <c r="D46" s="113">
        <f t="shared" si="9"/>
        <v>29247</v>
      </c>
      <c r="E46" s="127">
        <f t="shared" si="9"/>
        <v>1338790.0893999995</v>
      </c>
      <c r="F46" s="114">
        <f t="shared" si="9"/>
        <v>1066984.3939657002</v>
      </c>
      <c r="G46" s="109">
        <f t="shared" si="9"/>
        <v>271805.6954342993</v>
      </c>
      <c r="H46" s="130">
        <f>(M46+N46)/E46</f>
        <v>5.4114532646763729E-3</v>
      </c>
      <c r="I46" s="130">
        <f>(M46+N46)/G46</f>
        <v>2.6654334775524265E-2</v>
      </c>
      <c r="J46" s="115">
        <f t="shared" si="10"/>
        <v>9</v>
      </c>
      <c r="K46" s="115">
        <f t="shared" si="10"/>
        <v>2</v>
      </c>
      <c r="L46" s="115">
        <f t="shared" si="10"/>
        <v>12</v>
      </c>
      <c r="M46" s="114">
        <f t="shared" si="10"/>
        <v>5672.8</v>
      </c>
      <c r="N46" s="116">
        <f t="shared" si="10"/>
        <v>1572</v>
      </c>
    </row>
    <row r="47" spans="3:14" x14ac:dyDescent="0.35">
      <c r="C47" s="112" t="s">
        <v>83</v>
      </c>
      <c r="D47" s="108">
        <f t="shared" ref="D47:G50" si="11">D13+D24+D35</f>
        <v>22974</v>
      </c>
      <c r="E47" s="126">
        <f t="shared" si="11"/>
        <v>1098186.0281999996</v>
      </c>
      <c r="F47" s="109">
        <f t="shared" si="11"/>
        <v>896049.29051477008</v>
      </c>
      <c r="G47" s="109">
        <f t="shared" si="11"/>
        <v>202136.73768522954</v>
      </c>
      <c r="H47" s="130">
        <f t="shared" ref="H47:H50" si="12">(M47+N47)/E47</f>
        <v>1.3779550651179926E-2</v>
      </c>
      <c r="I47" s="130">
        <f t="shared" ref="I47:I50" si="13">(M47+N47)/G47</f>
        <v>7.4862739813108981E-2</v>
      </c>
      <c r="J47" s="110">
        <f t="shared" ref="J47:N50" si="14">J13+J24+J35</f>
        <v>27</v>
      </c>
      <c r="K47" s="110">
        <f t="shared" si="14"/>
        <v>6</v>
      </c>
      <c r="L47" s="110">
        <f t="shared" si="14"/>
        <v>8</v>
      </c>
      <c r="M47" s="109">
        <f t="shared" si="14"/>
        <v>12434.36</v>
      </c>
      <c r="N47" s="111">
        <f t="shared" si="14"/>
        <v>2698.15</v>
      </c>
    </row>
    <row r="48" spans="3:14" x14ac:dyDescent="0.35">
      <c r="C48" s="112" t="s">
        <v>84</v>
      </c>
      <c r="D48" s="113">
        <f t="shared" si="11"/>
        <v>30987</v>
      </c>
      <c r="E48" s="127">
        <f t="shared" si="11"/>
        <v>1551513.5382999992</v>
      </c>
      <c r="F48" s="114">
        <f t="shared" si="11"/>
        <v>1278779.2866820581</v>
      </c>
      <c r="G48" s="109">
        <f t="shared" si="11"/>
        <v>272734.25161794107</v>
      </c>
      <c r="H48" s="130">
        <f t="shared" si="12"/>
        <v>5.1057240587663429E-2</v>
      </c>
      <c r="I48" s="130">
        <f t="shared" si="13"/>
        <v>0.29045123423283664</v>
      </c>
      <c r="J48" s="115">
        <f t="shared" si="14"/>
        <v>217</v>
      </c>
      <c r="K48" s="115">
        <f t="shared" si="14"/>
        <v>8</v>
      </c>
      <c r="L48" s="115">
        <f t="shared" si="14"/>
        <v>31</v>
      </c>
      <c r="M48" s="114">
        <f t="shared" si="14"/>
        <v>76125.200000000012</v>
      </c>
      <c r="N48" s="116">
        <f t="shared" si="14"/>
        <v>3090.8</v>
      </c>
    </row>
    <row r="49" spans="3:14" x14ac:dyDescent="0.35">
      <c r="C49" s="112" t="s">
        <v>85</v>
      </c>
      <c r="D49" s="108">
        <f t="shared" si="11"/>
        <v>47324</v>
      </c>
      <c r="E49" s="126">
        <f t="shared" si="11"/>
        <v>2319355.2319</v>
      </c>
      <c r="F49" s="109">
        <f t="shared" si="11"/>
        <v>1919583.7014825912</v>
      </c>
      <c r="G49" s="109">
        <f t="shared" si="11"/>
        <v>399771.53041740868</v>
      </c>
      <c r="H49" s="130">
        <f t="shared" si="12"/>
        <v>2.9275562909083324E-2</v>
      </c>
      <c r="I49" s="130">
        <f t="shared" si="13"/>
        <v>0.16984808780431146</v>
      </c>
      <c r="J49" s="110">
        <f t="shared" si="14"/>
        <v>304</v>
      </c>
      <c r="K49" s="110">
        <f t="shared" si="14"/>
        <v>2</v>
      </c>
      <c r="L49" s="110">
        <f t="shared" si="14"/>
        <v>98</v>
      </c>
      <c r="M49" s="109">
        <f t="shared" si="14"/>
        <v>67900.429999999993</v>
      </c>
      <c r="N49" s="111">
        <f t="shared" si="14"/>
        <v>0</v>
      </c>
    </row>
    <row r="50" spans="3:14" x14ac:dyDescent="0.35">
      <c r="C50" s="208" t="s">
        <v>86</v>
      </c>
      <c r="D50" s="209">
        <f t="shared" si="11"/>
        <v>8944</v>
      </c>
      <c r="E50" s="210">
        <f t="shared" si="11"/>
        <v>409273.91000000003</v>
      </c>
      <c r="F50" s="211">
        <f t="shared" si="11"/>
        <v>308577.71100000013</v>
      </c>
      <c r="G50" s="212">
        <f t="shared" si="11"/>
        <v>100696.19899999991</v>
      </c>
      <c r="H50" s="213">
        <f t="shared" si="12"/>
        <v>6.1670972381308149E-2</v>
      </c>
      <c r="I50" s="213">
        <f t="shared" si="13"/>
        <v>0.25065812067047361</v>
      </c>
      <c r="J50" s="214">
        <f t="shared" si="14"/>
        <v>214</v>
      </c>
      <c r="K50" s="214">
        <f t="shared" si="14"/>
        <v>0</v>
      </c>
      <c r="L50" s="214">
        <f t="shared" si="14"/>
        <v>138</v>
      </c>
      <c r="M50" s="211">
        <f t="shared" si="14"/>
        <v>25240.32</v>
      </c>
      <c r="N50" s="215">
        <f t="shared" si="14"/>
        <v>0</v>
      </c>
    </row>
    <row r="51" spans="3:14" ht="15" thickBot="1" x14ac:dyDescent="0.4">
      <c r="C51" s="221" t="s">
        <v>102</v>
      </c>
      <c r="D51" s="122">
        <f>SUM(D45:D50)</f>
        <v>149819</v>
      </c>
      <c r="E51" s="129">
        <f>SUM(E45:E50)</f>
        <v>7172376.7255999986</v>
      </c>
      <c r="F51" s="123">
        <f>SUM(F45:F50)</f>
        <v>5829346.2968928413</v>
      </c>
      <c r="G51" s="134">
        <f>SUM(G45:G50)</f>
        <v>1343030.4287071573</v>
      </c>
      <c r="H51" s="137">
        <f>(M51+N51)/E51</f>
        <v>2.753966886527091E-2</v>
      </c>
      <c r="I51" s="137">
        <f>(M51+N51)/G51</f>
        <v>0.14707401692316352</v>
      </c>
      <c r="J51" s="135">
        <f>SUM(J45:J50)</f>
        <v>775</v>
      </c>
      <c r="K51" s="124">
        <f>SUM(K45:K50)</f>
        <v>18</v>
      </c>
      <c r="L51" s="124">
        <f>SUM(L45:L50)</f>
        <v>287</v>
      </c>
      <c r="M51" s="123">
        <f>SUM(M45:M50)</f>
        <v>190163.93</v>
      </c>
      <c r="N51" s="125">
        <f>SUM(N45:N50)</f>
        <v>7360.95</v>
      </c>
    </row>
  </sheetData>
  <mergeCells count="5">
    <mergeCell ref="D3:M4"/>
    <mergeCell ref="C8:D8"/>
    <mergeCell ref="C19:D19"/>
    <mergeCell ref="C30:D30"/>
    <mergeCell ref="C42:D4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4:U22"/>
  <sheetViews>
    <sheetView zoomScaleNormal="100" workbookViewId="0">
      <selection activeCell="F8" sqref="F8"/>
    </sheetView>
  </sheetViews>
  <sheetFormatPr defaultRowHeight="14.5" x14ac:dyDescent="0.35"/>
  <cols>
    <col min="3" max="3" width="20.54296875" bestFit="1" customWidth="1"/>
    <col min="4" max="4" width="23.1796875" customWidth="1"/>
    <col min="5" max="5" width="20.7265625" customWidth="1"/>
    <col min="6" max="8" width="12.54296875" customWidth="1"/>
    <col min="9" max="9" width="15.1796875" customWidth="1"/>
    <col min="10" max="10" width="18.81640625" customWidth="1"/>
    <col min="11" max="11" width="23.81640625" customWidth="1"/>
    <col min="12" max="12" width="20.7265625" customWidth="1"/>
    <col min="13" max="13" width="14.54296875" customWidth="1"/>
    <col min="14" max="14" width="13.453125" customWidth="1"/>
    <col min="15" max="15" width="12" customWidth="1"/>
    <col min="16" max="17" width="20.7265625" customWidth="1"/>
  </cols>
  <sheetData>
    <row r="4" spans="2:21" ht="15" thickBot="1" x14ac:dyDescent="0.4"/>
    <row r="5" spans="2:21" ht="15" thickBot="1" x14ac:dyDescent="0.4">
      <c r="B5" s="148" t="s">
        <v>78</v>
      </c>
      <c r="C5" s="304" t="s">
        <v>80</v>
      </c>
      <c r="D5" s="305"/>
      <c r="E5" s="138"/>
    </row>
    <row r="6" spans="2:21" ht="15" thickBot="1" x14ac:dyDescent="0.4">
      <c r="B6" s="149" t="s">
        <v>79</v>
      </c>
      <c r="C6" s="306" t="s">
        <v>81</v>
      </c>
      <c r="D6" s="307"/>
      <c r="E6" s="138"/>
    </row>
    <row r="7" spans="2:21" ht="15" thickBot="1" x14ac:dyDescent="0.4">
      <c r="B7" s="138"/>
      <c r="C7" s="138"/>
      <c r="D7" s="138"/>
      <c r="E7" s="310" t="s">
        <v>103</v>
      </c>
      <c r="F7" s="311"/>
      <c r="G7" s="311"/>
      <c r="H7" s="311"/>
      <c r="I7" s="311"/>
      <c r="J7" s="311"/>
      <c r="K7" s="312"/>
      <c r="L7" s="313" t="s">
        <v>104</v>
      </c>
      <c r="M7" s="314"/>
      <c r="N7" s="314"/>
      <c r="O7" s="314"/>
      <c r="P7" s="314"/>
      <c r="Q7" s="315"/>
    </row>
    <row r="8" spans="2:21" ht="58.5" thickBot="1" x14ac:dyDescent="0.4">
      <c r="B8" s="139" t="s">
        <v>36</v>
      </c>
      <c r="C8" s="153" t="s">
        <v>76</v>
      </c>
      <c r="D8" s="152" t="s">
        <v>77</v>
      </c>
      <c r="E8" s="226" t="s">
        <v>105</v>
      </c>
      <c r="F8" s="227" t="s">
        <v>20</v>
      </c>
      <c r="G8" s="227" t="s">
        <v>107</v>
      </c>
      <c r="H8" s="227" t="s">
        <v>64</v>
      </c>
      <c r="I8" s="227" t="s">
        <v>65</v>
      </c>
      <c r="J8" s="224" t="s">
        <v>108</v>
      </c>
      <c r="K8" s="225" t="s">
        <v>96</v>
      </c>
      <c r="L8" s="226" t="s">
        <v>109</v>
      </c>
      <c r="M8" s="227" t="s">
        <v>65</v>
      </c>
      <c r="N8" s="234" t="s">
        <v>96</v>
      </c>
      <c r="O8" s="235" t="s">
        <v>106</v>
      </c>
      <c r="P8" s="244" t="s">
        <v>97</v>
      </c>
      <c r="Q8" s="240" t="s">
        <v>98</v>
      </c>
    </row>
    <row r="9" spans="2:21" x14ac:dyDescent="0.35">
      <c r="B9" s="142" t="s">
        <v>70</v>
      </c>
      <c r="C9" s="154">
        <v>8.2468995811852408E-3</v>
      </c>
      <c r="D9" s="150">
        <v>1.1796497679256364E-2</v>
      </c>
      <c r="E9" s="228">
        <f>I9/F9</f>
        <v>9.7975780299048142E-3</v>
      </c>
      <c r="F9" s="229">
        <v>3518240.8100000103</v>
      </c>
      <c r="G9" s="229">
        <v>267347.26</v>
      </c>
      <c r="H9" s="229">
        <v>232877.02113602939</v>
      </c>
      <c r="I9" s="229">
        <f>G9-H9</f>
        <v>34470.238863970619</v>
      </c>
      <c r="J9" s="192">
        <f>K9/I9</f>
        <v>0</v>
      </c>
      <c r="K9" s="222">
        <v>0</v>
      </c>
      <c r="L9" s="232">
        <f>E9-E9*0.2</f>
        <v>7.8380624239238507E-3</v>
      </c>
      <c r="M9" s="236">
        <f>F9*L9</f>
        <v>27576.191091176494</v>
      </c>
      <c r="N9" s="237">
        <f>K9*1.26</f>
        <v>0</v>
      </c>
      <c r="O9" s="171">
        <f>N9/M9</f>
        <v>0</v>
      </c>
      <c r="P9" s="245">
        <f>I9/(1-H9/G9)</f>
        <v>267347.25999999995</v>
      </c>
      <c r="Q9" s="241">
        <f>M9/0.85</f>
        <v>32442.577754325288</v>
      </c>
      <c r="R9" s="249">
        <f>Q9/F9</f>
        <v>9.2212499104986478E-3</v>
      </c>
      <c r="S9" s="248">
        <f>G9/F9</f>
        <v>7.5988903101831512E-2</v>
      </c>
      <c r="T9" s="249">
        <f>I9/F9</f>
        <v>9.7975780299048142E-3</v>
      </c>
      <c r="U9" s="250">
        <f>M9/F9</f>
        <v>7.8380624239238507E-3</v>
      </c>
    </row>
    <row r="10" spans="2:21" x14ac:dyDescent="0.35">
      <c r="B10" s="145" t="s">
        <v>82</v>
      </c>
      <c r="C10" s="154">
        <v>8.8769651450949782E-3</v>
      </c>
      <c r="D10" s="150">
        <v>1.2697753586312333E-2</v>
      </c>
      <c r="E10" s="228">
        <f t="shared" ref="E10:E13" si="0">I10/F10</f>
        <v>1.0130185170196719E-2</v>
      </c>
      <c r="F10" s="229">
        <v>9525762.5800000578</v>
      </c>
      <c r="G10" s="229">
        <v>763187.78999999957</v>
      </c>
      <c r="H10" s="229">
        <v>666690.05117726815</v>
      </c>
      <c r="I10" s="229">
        <f t="shared" ref="I10:I13" si="1">G10-H10</f>
        <v>96497.738822731422</v>
      </c>
      <c r="J10" s="192">
        <f t="shared" ref="J10:J13" si="2">K10/I10</f>
        <v>4.9206127085762087E-2</v>
      </c>
      <c r="K10" s="222">
        <v>4748.2800000000007</v>
      </c>
      <c r="L10" s="232">
        <f>E10-E10*0.2</f>
        <v>8.1041481361573756E-3</v>
      </c>
      <c r="M10" s="236">
        <f>F10*L10</f>
        <v>77198.191058185141</v>
      </c>
      <c r="N10" s="237">
        <f t="shared" ref="N10:N13" si="3">K10*1.26</f>
        <v>5982.832800000001</v>
      </c>
      <c r="O10" s="171">
        <f t="shared" ref="O10:O13" si="4">N10/M10</f>
        <v>7.749965016007529E-2</v>
      </c>
      <c r="P10" s="245">
        <f t="shared" ref="P10:P13" si="5">I10/(1-H10/G10)</f>
        <v>763187.7899999998</v>
      </c>
      <c r="Q10" s="241">
        <f t="shared" ref="Q10:Q13" si="6">M10/0.85</f>
        <v>90821.401244923691</v>
      </c>
      <c r="R10" s="249">
        <f t="shared" ref="R10:R13" si="7">Q10/F10</f>
        <v>9.5342919248910286E-3</v>
      </c>
      <c r="S10" s="248">
        <f t="shared" ref="S10:S13" si="8">G10/F10</f>
        <v>8.0118288020568626E-2</v>
      </c>
      <c r="T10" s="249">
        <f t="shared" ref="T10:T13" si="9">I10/F10</f>
        <v>1.0130185170196719E-2</v>
      </c>
      <c r="U10" s="250">
        <f t="shared" ref="U10:U13" si="10">M10/F10</f>
        <v>8.1041481361573756E-3</v>
      </c>
    </row>
    <row r="11" spans="2:21" x14ac:dyDescent="0.35">
      <c r="B11" s="145" t="s">
        <v>83</v>
      </c>
      <c r="C11" s="154">
        <v>1.0443531501682275E-2</v>
      </c>
      <c r="D11" s="150">
        <v>1.4938595275720556E-2</v>
      </c>
      <c r="E11" s="228">
        <f t="shared" si="0"/>
        <v>1.1350515703945194E-2</v>
      </c>
      <c r="F11" s="229">
        <v>6642244.2799999956</v>
      </c>
      <c r="G11" s="229">
        <v>631225.2999999997</v>
      </c>
      <c r="H11" s="229">
        <v>555832.4019904196</v>
      </c>
      <c r="I11" s="229">
        <f t="shared" si="1"/>
        <v>75392.898009580094</v>
      </c>
      <c r="J11" s="192">
        <f t="shared" si="2"/>
        <v>0.11035641578524777</v>
      </c>
      <c r="K11" s="222">
        <v>8320.09</v>
      </c>
      <c r="L11" s="232">
        <f>E11-E11*0.2</f>
        <v>9.0804125631561549E-3</v>
      </c>
      <c r="M11" s="236">
        <f>F11*L11</f>
        <v>60314.318407664068</v>
      </c>
      <c r="N11" s="237">
        <f t="shared" si="3"/>
        <v>10483.313400000001</v>
      </c>
      <c r="O11" s="171">
        <f t="shared" si="4"/>
        <v>0.17381135486176527</v>
      </c>
      <c r="P11" s="245">
        <f t="shared" si="5"/>
        <v>631225.29999999958</v>
      </c>
      <c r="Q11" s="241">
        <f t="shared" si="6"/>
        <v>70958.021656075376</v>
      </c>
      <c r="R11" s="249">
        <f t="shared" si="7"/>
        <v>1.0682838309595476E-2</v>
      </c>
      <c r="S11" s="248">
        <f t="shared" si="8"/>
        <v>9.5031930984628005E-2</v>
      </c>
      <c r="T11" s="249">
        <f t="shared" si="9"/>
        <v>1.1350515703945194E-2</v>
      </c>
      <c r="U11" s="250">
        <f t="shared" si="10"/>
        <v>9.0804125631561549E-3</v>
      </c>
    </row>
    <row r="12" spans="2:21" x14ac:dyDescent="0.35">
      <c r="B12" s="145" t="s">
        <v>84</v>
      </c>
      <c r="C12" s="154">
        <v>1.5489539377711779E-2</v>
      </c>
      <c r="D12" s="150">
        <v>2.2156486025220433E-2</v>
      </c>
      <c r="E12" s="228">
        <f t="shared" si="0"/>
        <v>1.598924522255046E-2</v>
      </c>
      <c r="F12" s="229">
        <v>6630565.6800000034</v>
      </c>
      <c r="G12" s="229">
        <v>914075.90999999922</v>
      </c>
      <c r="H12" s="229">
        <v>808058.16937825212</v>
      </c>
      <c r="I12" s="229">
        <f t="shared" si="1"/>
        <v>106017.7406217471</v>
      </c>
      <c r="J12" s="192">
        <f t="shared" si="2"/>
        <v>0.35151937573319192</v>
      </c>
      <c r="K12" s="222">
        <v>37267.29</v>
      </c>
      <c r="L12" s="232">
        <f>E12-E12*0.2</f>
        <v>1.2791396178040367E-2</v>
      </c>
      <c r="M12" s="236">
        <f>F12*L12</f>
        <v>84814.192497397671</v>
      </c>
      <c r="N12" s="237">
        <f t="shared" si="3"/>
        <v>46956.785400000001</v>
      </c>
      <c r="O12" s="171">
        <f t="shared" si="4"/>
        <v>0.55364301677977734</v>
      </c>
      <c r="P12" s="245">
        <f t="shared" si="5"/>
        <v>914075.90999999933</v>
      </c>
      <c r="Q12" s="241">
        <f t="shared" si="6"/>
        <v>99781.402938114916</v>
      </c>
      <c r="R12" s="249">
        <f t="shared" si="7"/>
        <v>1.5048701385929845E-2</v>
      </c>
      <c r="S12" s="248">
        <f t="shared" si="8"/>
        <v>0.13785790747193064</v>
      </c>
      <c r="T12" s="249">
        <f t="shared" si="9"/>
        <v>1.598924522255046E-2</v>
      </c>
      <c r="U12" s="250">
        <f t="shared" si="10"/>
        <v>1.2791396178040367E-2</v>
      </c>
    </row>
    <row r="13" spans="2:21" ht="15" thickBot="1" x14ac:dyDescent="0.4">
      <c r="B13" s="146" t="s">
        <v>85</v>
      </c>
      <c r="C13" s="155">
        <v>2.8026861171499308E-2</v>
      </c>
      <c r="D13" s="151">
        <v>4.0090072579605181E-2</v>
      </c>
      <c r="E13" s="230">
        <f t="shared" si="0"/>
        <v>2.6849689598775161E-2</v>
      </c>
      <c r="F13" s="231">
        <v>5968597.5099999337</v>
      </c>
      <c r="G13" s="231">
        <v>1447622.4500000002</v>
      </c>
      <c r="H13" s="231">
        <v>1287367.4595164796</v>
      </c>
      <c r="I13" s="231">
        <f t="shared" si="1"/>
        <v>160254.99048352055</v>
      </c>
      <c r="J13" s="193">
        <f t="shared" si="2"/>
        <v>0.25764389536590337</v>
      </c>
      <c r="K13" s="223">
        <v>41288.720000000008</v>
      </c>
      <c r="L13" s="233">
        <f>E13-E13*0.2</f>
        <v>2.147975167902013E-2</v>
      </c>
      <c r="M13" s="238">
        <f>F13*L13</f>
        <v>128203.99238681645</v>
      </c>
      <c r="N13" s="239">
        <f t="shared" si="3"/>
        <v>52023.787200000013</v>
      </c>
      <c r="O13" s="172">
        <f t="shared" si="4"/>
        <v>0.40578913520129778</v>
      </c>
      <c r="P13" s="246">
        <f t="shared" si="5"/>
        <v>1447622.4500000007</v>
      </c>
      <c r="Q13" s="243">
        <f t="shared" si="6"/>
        <v>150828.22633743112</v>
      </c>
      <c r="R13" s="249">
        <f t="shared" si="7"/>
        <v>2.5270296092964859E-2</v>
      </c>
      <c r="S13" s="248">
        <f t="shared" si="8"/>
        <v>0.2425398006105485</v>
      </c>
      <c r="T13" s="249">
        <f t="shared" si="9"/>
        <v>2.6849689598775161E-2</v>
      </c>
      <c r="U13" s="250">
        <f t="shared" si="10"/>
        <v>2.147975167902013E-2</v>
      </c>
    </row>
    <row r="14" spans="2:21" ht="15" thickBot="1" x14ac:dyDescent="0.4">
      <c r="P14" s="247">
        <f>SUM(P9:P13)</f>
        <v>4023458.7099999995</v>
      </c>
      <c r="Q14" s="242">
        <f>SUM(Q9:Q13)</f>
        <v>444831.62993087037</v>
      </c>
    </row>
    <row r="18" spans="9:9" x14ac:dyDescent="0.35">
      <c r="I18" s="183"/>
    </row>
    <row r="19" spans="9:9" x14ac:dyDescent="0.35">
      <c r="I19" s="183"/>
    </row>
    <row r="20" spans="9:9" x14ac:dyDescent="0.35">
      <c r="I20" s="183"/>
    </row>
    <row r="21" spans="9:9" x14ac:dyDescent="0.35">
      <c r="I21" s="183"/>
    </row>
    <row r="22" spans="9:9" x14ac:dyDescent="0.35">
      <c r="I22" s="183"/>
    </row>
  </sheetData>
  <mergeCells count="4">
    <mergeCell ref="C5:D5"/>
    <mergeCell ref="C6:D6"/>
    <mergeCell ref="E7:K7"/>
    <mergeCell ref="L7:Q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p-l</vt:lpstr>
      <vt:lpstr>1-ci variant</vt:lpstr>
      <vt:lpstr>2-ci variant</vt:lpstr>
      <vt:lpstr>Şirkətlərin uçot jurnalları</vt:lpstr>
      <vt:lpstr>Müqayisəli tariflər</vt:lpstr>
      <vt:lpstr>Statistika_2016-2018</vt:lpstr>
      <vt:lpstr>Statistika_2016-2018 (65+)</vt:lpstr>
      <vt:lpstr>Yekun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2024-12-30T21:18:37Z</dcterms:modified>
</cp:coreProperties>
</file>