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drawings/drawing1.xml" ContentType="application/vnd.openxmlformats-officedocument.drawing+xml"/>
  <Override PartName="/xl/charts/chart1.xml" ContentType="application/vnd.openxmlformats-officedocument.drawingml.chart+xml"/>
  <Override PartName="/xl/printerSettings/printerSettings2.bin" ContentType="application/vnd.openxmlformats-officedocument.spreadsheetml.printerSettings"/>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Ramsey\Downloads\"/>
    </mc:Choice>
  </mc:AlternateContent>
  <xr:revisionPtr revIDLastSave="0" documentId="13_ncr:1_{AE687DFB-0CD0-42FC-8548-867A70E7B72E}" xr6:coauthVersionLast="47" xr6:coauthVersionMax="47" xr10:uidLastSave="{00000000-0000-0000-0000-000000000000}"/>
  <bookViews>
    <workbookView xWindow="-110" yWindow="-110" windowWidth="19420" windowHeight="10420" activeTab="2" xr2:uid="{34C15DC1-A4F7-4867-A4EF-EB9B7AAD7988}"/>
  </bookViews>
  <sheets>
    <sheet name="I. Data" sheetId="2" r:id="rId1"/>
    <sheet name="O. Analysis (lapse 3.8%)" sheetId="1" r:id="rId2"/>
    <sheet name="O. Analysis (lapse 4.2%)"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4" i="4" s="1"/>
  <c r="E5" i="1"/>
  <c r="E5" i="4" s="1"/>
  <c r="E6" i="1"/>
  <c r="E6" i="4" s="1"/>
  <c r="F6" i="1"/>
  <c r="E7" i="1"/>
  <c r="E7" i="4" s="1"/>
  <c r="F7" i="1"/>
  <c r="E8" i="1"/>
  <c r="E8" i="4" s="1"/>
  <c r="F8" i="1"/>
  <c r="E9" i="1"/>
  <c r="E9" i="4" s="1"/>
  <c r="F9" i="1"/>
  <c r="E10" i="1"/>
  <c r="E10" i="4" s="1"/>
  <c r="F10" i="1"/>
  <c r="E11" i="1"/>
  <c r="E11" i="4" s="1"/>
  <c r="F11" i="1"/>
  <c r="F11" i="4"/>
  <c r="F10" i="4"/>
  <c r="F9" i="4"/>
  <c r="F8" i="4"/>
  <c r="F7" i="4"/>
  <c r="F6" i="4"/>
  <c r="L11" i="4"/>
  <c r="L10" i="4"/>
  <c r="L9" i="4"/>
  <c r="L8" i="4"/>
  <c r="B5" i="4"/>
  <c r="B6" i="4" s="1"/>
  <c r="B7" i="4" s="1"/>
  <c r="B8" i="4" s="1"/>
  <c r="AA2" i="4"/>
  <c r="Z2" i="4"/>
  <c r="Y2" i="4"/>
  <c r="X2" i="4"/>
  <c r="W2" i="4"/>
  <c r="V2" i="4"/>
  <c r="G8" i="4" l="1"/>
  <c r="D10" i="1"/>
  <c r="C4" i="1"/>
  <c r="C4" i="4" s="1"/>
  <c r="C8" i="1"/>
  <c r="C8" i="4" s="1"/>
  <c r="D11" i="1"/>
  <c r="D8" i="1"/>
  <c r="C10" i="1"/>
  <c r="C10" i="4" s="1"/>
  <c r="C9" i="1"/>
  <c r="C9" i="4" s="1"/>
  <c r="C5" i="1"/>
  <c r="C5" i="4" s="1"/>
  <c r="C11" i="1"/>
  <c r="C11" i="4" s="1"/>
  <c r="C6" i="1"/>
  <c r="C6" i="4" s="1"/>
  <c r="C7" i="1"/>
  <c r="C7" i="4" s="1"/>
  <c r="D6" i="1"/>
  <c r="G2" i="1"/>
  <c r="D9" i="1"/>
  <c r="D7" i="1"/>
  <c r="D11" i="4"/>
  <c r="G11" i="4"/>
  <c r="I2" i="4"/>
  <c r="G7" i="4"/>
  <c r="D7" i="4"/>
  <c r="G2" i="4"/>
  <c r="H2" i="4"/>
  <c r="G10" i="4"/>
  <c r="D10" i="4"/>
  <c r="G9" i="4"/>
  <c r="D8" i="4"/>
  <c r="J11" i="4"/>
  <c r="U11" i="4" s="1"/>
  <c r="G6" i="4"/>
  <c r="D9" i="4"/>
  <c r="J10" i="4"/>
  <c r="U10" i="4" s="1"/>
  <c r="D6" i="4"/>
  <c r="B9" i="4"/>
  <c r="T8" i="4"/>
  <c r="G11" i="1"/>
  <c r="G10" i="1"/>
  <c r="G9" i="1"/>
  <c r="G8" i="1"/>
  <c r="G7" i="1"/>
  <c r="G6" i="1"/>
  <c r="I2" i="1"/>
  <c r="H2" i="1"/>
  <c r="J11" i="1"/>
  <c r="J10" i="1"/>
  <c r="C12" i="1" l="1"/>
  <c r="C12" i="4"/>
  <c r="T12" i="1"/>
  <c r="I10" i="1"/>
  <c r="H10" i="1"/>
  <c r="I11" i="1"/>
  <c r="J2" i="1" s="1"/>
  <c r="H11" i="1"/>
  <c r="I10" i="4"/>
  <c r="N10" i="4" s="1"/>
  <c r="H11" i="4"/>
  <c r="I11" i="4"/>
  <c r="N11" i="4" s="1"/>
  <c r="H10" i="4"/>
  <c r="T9" i="4"/>
  <c r="B10" i="4"/>
  <c r="Q10" i="4" l="1"/>
  <c r="V10" i="4" s="1"/>
  <c r="R10" i="4"/>
  <c r="M10" i="4"/>
  <c r="Y10" i="4" s="1"/>
  <c r="O10" i="4"/>
  <c r="W10" i="4" s="1"/>
  <c r="P10" i="4"/>
  <c r="Z10" i="4" s="1"/>
  <c r="Q11" i="4"/>
  <c r="V11" i="4" s="1"/>
  <c r="M11" i="4"/>
  <c r="Y11" i="4" s="1"/>
  <c r="O11" i="4"/>
  <c r="R11" i="4"/>
  <c r="J2" i="4"/>
  <c r="P11" i="4"/>
  <c r="Z11" i="4" s="1"/>
  <c r="B11" i="4"/>
  <c r="T11" i="4" s="1"/>
  <c r="T10" i="4"/>
  <c r="X11" i="4" l="1"/>
  <c r="W11" i="4"/>
  <c r="AA10" i="4"/>
  <c r="X10" i="4"/>
  <c r="AA11" i="4"/>
  <c r="L11" i="1"/>
  <c r="U11" i="1"/>
  <c r="L10" i="1"/>
  <c r="U10" i="1"/>
  <c r="C4" i="2" l="1"/>
  <c r="A4" i="2"/>
  <c r="A5" i="2" s="1"/>
  <c r="A6" i="2" s="1"/>
  <c r="A7" i="2" s="1"/>
  <c r="A8" i="2" s="1"/>
  <c r="A9" i="2" s="1"/>
  <c r="A10" i="2" s="1"/>
  <c r="C3" i="2"/>
  <c r="B5" i="1"/>
  <c r="B6" i="1" s="1"/>
  <c r="B7" i="1" s="1"/>
  <c r="B8" i="1" s="1"/>
  <c r="B9" i="1" s="1"/>
  <c r="B10" i="1" s="1"/>
  <c r="L9" i="1"/>
  <c r="L8" i="1"/>
  <c r="AA2" i="1"/>
  <c r="Z2" i="1"/>
  <c r="Y2" i="1"/>
  <c r="X2" i="1"/>
  <c r="W2" i="1"/>
  <c r="V2" i="1"/>
  <c r="F5" i="4" l="1"/>
  <c r="F5" i="1"/>
  <c r="F4" i="1"/>
  <c r="F4" i="4"/>
  <c r="B11" i="1"/>
  <c r="T11" i="1" s="1"/>
  <c r="T10" i="1"/>
  <c r="T8" i="1"/>
  <c r="J8" i="1"/>
  <c r="U8" i="1" s="1"/>
  <c r="T9" i="1"/>
  <c r="G5" i="4" l="1"/>
  <c r="F2" i="4"/>
  <c r="D5" i="4"/>
  <c r="J9" i="4"/>
  <c r="U9" i="4" s="1"/>
  <c r="G4" i="4"/>
  <c r="D4" i="4"/>
  <c r="F12" i="4"/>
  <c r="K12" i="4" s="1"/>
  <c r="J8" i="4"/>
  <c r="U8" i="4" s="1"/>
  <c r="D4" i="1"/>
  <c r="G4" i="1"/>
  <c r="F12" i="1"/>
  <c r="K12" i="1" s="1"/>
  <c r="D5" i="1"/>
  <c r="G5" i="1"/>
  <c r="F2" i="1"/>
  <c r="J9" i="1"/>
  <c r="U9" i="1" s="1"/>
  <c r="O11" i="1"/>
  <c r="N11" i="1"/>
  <c r="M11" i="1"/>
  <c r="Q11" i="1"/>
  <c r="V11" i="1" s="1"/>
  <c r="R11" i="1"/>
  <c r="P11" i="1"/>
  <c r="P10" i="1"/>
  <c r="O10" i="1"/>
  <c r="N10" i="1"/>
  <c r="Q10" i="1"/>
  <c r="V10" i="1" s="1"/>
  <c r="R10" i="1"/>
  <c r="M10" i="1"/>
  <c r="I9" i="1" l="1"/>
  <c r="H9" i="1"/>
  <c r="I8" i="4"/>
  <c r="H8" i="4"/>
  <c r="H9" i="4"/>
  <c r="I9" i="4"/>
  <c r="I8" i="1"/>
  <c r="H8" i="1"/>
  <c r="X10" i="1"/>
  <c r="Z11" i="1"/>
  <c r="AA10" i="1"/>
  <c r="X11" i="1"/>
  <c r="AA11" i="1"/>
  <c r="W10" i="1"/>
  <c r="Y11" i="1"/>
  <c r="Y10" i="1"/>
  <c r="Z10" i="1"/>
  <c r="W11" i="1"/>
  <c r="P9" i="1" l="1"/>
  <c r="M9" i="1"/>
  <c r="Q9" i="1"/>
  <c r="V9" i="1" s="1"/>
  <c r="O9" i="1"/>
  <c r="W9" i="1" s="1"/>
  <c r="R9" i="1"/>
  <c r="AA9" i="1" s="1"/>
  <c r="N9" i="1"/>
  <c r="Y9" i="1" s="1"/>
  <c r="R8" i="1"/>
  <c r="Q8" i="1"/>
  <c r="V8" i="1" s="1"/>
  <c r="M8" i="1"/>
  <c r="O8" i="1"/>
  <c r="N8" i="1"/>
  <c r="Y8" i="1" s="1"/>
  <c r="P8" i="1"/>
  <c r="Z8" i="1" s="1"/>
  <c r="O8" i="4"/>
  <c r="N8" i="4"/>
  <c r="P8" i="4"/>
  <c r="Z8" i="4" s="1"/>
  <c r="R8" i="4"/>
  <c r="AA8" i="4" s="1"/>
  <c r="Q8" i="4"/>
  <c r="V8" i="4" s="1"/>
  <c r="M8" i="4"/>
  <c r="P9" i="4"/>
  <c r="Q9" i="4"/>
  <c r="V9" i="4" s="1"/>
  <c r="N9" i="4"/>
  <c r="O9" i="4"/>
  <c r="R9" i="4"/>
  <c r="AA9" i="4" s="1"/>
  <c r="M9" i="4"/>
  <c r="X9" i="4" s="1"/>
  <c r="AA8" i="1" l="1"/>
  <c r="W9" i="4"/>
  <c r="Y8" i="4"/>
  <c r="X8" i="4"/>
  <c r="W8" i="1"/>
  <c r="X9" i="1"/>
  <c r="Z9" i="4"/>
  <c r="Y9" i="4"/>
  <c r="W8" i="4"/>
  <c r="X8" i="1"/>
  <c r="Z9" i="1"/>
</calcChain>
</file>

<file path=xl/sharedStrings.xml><?xml version="1.0" encoding="utf-8"?>
<sst xmlns="http://schemas.openxmlformats.org/spreadsheetml/2006/main" count="95" uniqueCount="46">
  <si>
    <t>Lapses</t>
  </si>
  <si>
    <t/>
  </si>
  <si>
    <t>7 year</t>
  </si>
  <si>
    <t>5 year</t>
  </si>
  <si>
    <t>2 year</t>
  </si>
  <si>
    <t>1 year</t>
  </si>
  <si>
    <t>1 std dev</t>
  </si>
  <si>
    <t>1/10</t>
  </si>
  <si>
    <t>1/20</t>
  </si>
  <si>
    <t>1/100</t>
  </si>
  <si>
    <t>Bias adj.</t>
  </si>
  <si>
    <t>Year</t>
  </si>
  <si>
    <t>Experience</t>
  </si>
  <si>
    <t>Expected decrement</t>
  </si>
  <si>
    <t>Actual decrement</t>
  </si>
  <si>
    <t>Observed A/E</t>
  </si>
  <si>
    <t>Sample mean</t>
  </si>
  <si>
    <t>Sample variance</t>
  </si>
  <si>
    <t>X bar</t>
  </si>
  <si>
    <t>df</t>
  </si>
  <si>
    <t>lower bound</t>
  </si>
  <si>
    <t>upper bound</t>
  </si>
  <si>
    <t>5 Year A/E</t>
  </si>
  <si>
    <t>86% lower bound</t>
  </si>
  <si>
    <t>94% upper bound</t>
  </si>
  <si>
    <t>94% lower bound</t>
  </si>
  <si>
    <t>96% upper bound</t>
  </si>
  <si>
    <t>98.5% lower bound</t>
  </si>
  <si>
    <t>99.5% upper bound</t>
  </si>
  <si>
    <t>Lapse Assumption</t>
  </si>
  <si>
    <t>Expected payouts in respect of lapses</t>
  </si>
  <si>
    <t>Actual payouts in respect of lapses</t>
  </si>
  <si>
    <t>The table below contain the expected and actual payouts in respect of the lapse by year.</t>
  </si>
  <si>
    <t>3) Therefore, the current fixed lapse rate of 3.8% is not appropriate and needs to be revised upwards.</t>
  </si>
  <si>
    <t>Comments:</t>
  </si>
  <si>
    <t>Number of policies</t>
  </si>
  <si>
    <t>1) Gradually lapse rates are rising (especially in recent years).</t>
  </si>
  <si>
    <t>1) The change in lapse assumption rate from 3.8% to 4.2% has led to a more accurate modelling of lapse rates.</t>
  </si>
  <si>
    <t>3) This has led to a drop in Sample mean and Sample Variance of the Ratio given more accurate modelling of lapse rates.</t>
  </si>
  <si>
    <t>4) Given the Ratio has been increasing in recent years, the Ratio is at the lower end of the confidence intervals in the earlier years (2019 and 2020) and has gradually moved to the upper end (2021 and 2022).</t>
  </si>
  <si>
    <t>6) Overall, the above movements in results are consistent with the increase in lapse rate assumption from 3.8% to 4.2%.</t>
  </si>
  <si>
    <t>2) Observed lapse rates for 2021 and 2022 are outside the 1 in 10 and 1 in 20 confidence intervals, and just within 1 in 100 years confidence interval.</t>
  </si>
  <si>
    <t>4) Considering the last eight years of data, there has been an average lapse rate of 4.2% (i.e., total decrements/total number of policies). Therefore, the lapse rate assumption should at least be increased to 4.2% per annum.</t>
  </si>
  <si>
    <t>5) Potentially, we could consider having a variable lapse rate assumption going forward as the lapse rates have been increasing. Albeit, this might increase calculation complexities.</t>
  </si>
  <si>
    <t>2) This has brought back the ratio ("the Ratio") of the actual decrements over the expected decrements within 1 in 10, 1 in 20 and 1 in 100 confidence intervals.</t>
  </si>
  <si>
    <t>5) The expected decrements have increased by roughly 10.5% (4.2%/3.8%), which is in line with our expectations.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</si>
</sst>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00_-;\-* #,##0.00_-;_-* &quot;-&quot;??_-;_-@_-"/>
    <numFmt numFmtId="165" formatCode="0.0%"/>
    <numFmt numFmtId="166" formatCode="_(* #,##0_);_(* \(#,##0\);_(* &quot;-&quot;??_);_(@_)"/>
    <numFmt numFmtId="167" formatCode="0.000%"/>
  </numFmts>
  <fonts count="11"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i/>
      <sz val="11"/>
      <color rgb="FFFF0000"/>
      <name val="Calibri"/>
      <family val="2"/>
      <scheme val="minor"/>
    </font>
    <font>
      <b/>
      <i/>
      <sz val="11"/>
      <name val="Calibri"/>
      <family val="2"/>
      <scheme val="minor"/>
    </font>
    <font>
      <sz val="10"/>
      <name val="Arial"/>
      <family val="2"/>
    </font>
    <font>
      <sz val="11"/>
      <color rgb="FF3F3F3F"/>
      <name val="Calibri"/>
      <family val="2"/>
      <scheme val="minor"/>
    </font>
    <font>
      <b/>
      <sz val="11"/>
      <color theme="1"/>
      <name val="Calibri"/>
      <family val="2"/>
      <scheme val="minor"/>
    </font>
    <font>
      <i/>
      <sz val="11"/>
      <name val="Calibri"/>
      <family val="2"/>
      <scheme val="minor"/>
    </font>
  </fonts>
  <fills count="13">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6" tint="0.39994506668294322"/>
        <bgColor indexed="64"/>
      </patternFill>
    </fill>
    <fill>
      <patternFill patternType="solid">
        <fgColor theme="3"/>
        <bgColor indexed="64"/>
      </patternFill>
    </fill>
    <fill>
      <patternFill patternType="solid">
        <fgColor rgb="FFFFFFCC"/>
        <bgColor indexed="64"/>
      </patternFill>
    </fill>
    <fill>
      <patternFill patternType="solid">
        <fgColor theme="4" tint="0.39994506668294322"/>
        <bgColor indexed="64"/>
      </patternFill>
    </fill>
    <fill>
      <patternFill patternType="solid">
        <fgColor theme="0" tint="-0.34998626667073579"/>
        <bgColor indexed="64"/>
      </patternFill>
    </fill>
    <fill>
      <patternFill patternType="solid">
        <fgColor theme="0" tint="-0.14996795556505021"/>
        <bgColor indexed="64"/>
      </patternFill>
    </fill>
    <fill>
      <patternFill patternType="solid">
        <fgColor theme="0" tint="-0.24994659260841701"/>
        <bgColor indexed="64"/>
      </patternFill>
    </fill>
    <fill>
      <patternFill patternType="solid">
        <fgColor theme="0" tint="-0.499984740745262"/>
        <bgColor indexed="64"/>
      </patternFill>
    </fill>
    <fill>
      <patternFill patternType="solid">
        <fgColor rgb="FFFFFF00"/>
        <bgColor indexed="64"/>
      </patternFill>
    </fill>
  </fills>
  <borders count="1">
    <border>
      <left/>
      <right/>
      <top/>
      <bottom/>
      <diagonal/>
    </border>
  </borders>
  <cellStyleXfs count="11">
    <xf numFmtId="0" fontId="0" fillId="0" borderId="0"/>
    <xf numFmtId="43" fontId="7" fillId="0" borderId="0" applyFont="0" applyFill="0" applyBorder="0" applyAlignment="0" applyProtection="0"/>
    <xf numFmtId="9" fontId="1" fillId="0" borderId="0" applyFont="0" applyFill="0" applyBorder="0" applyAlignment="0" applyProtection="0"/>
    <xf numFmtId="0" fontId="2" fillId="2" borderId="0" applyNumberFormat="0" applyAlignment="0" applyProtection="0"/>
    <xf numFmtId="0" fontId="6" fillId="6" borderId="0" applyNumberFormat="0" applyAlignment="0" applyProtection="0"/>
    <xf numFmtId="0" fontId="8" fillId="7" borderId="0" applyNumberFormat="0" applyAlignment="0" applyProtection="0"/>
    <xf numFmtId="0" fontId="4" fillId="10" borderId="0" applyNumberFormat="0" applyAlignment="0" applyProtection="0"/>
    <xf numFmtId="0" fontId="4" fillId="6" borderId="0" applyNumberFormat="0" applyAlignment="0" applyProtection="0"/>
    <xf numFmtId="0" fontId="3" fillId="11" borderId="0" applyNumberFormat="0" applyBorder="0" applyAlignment="0" applyProtection="0"/>
    <xf numFmtId="0" fontId="2" fillId="2" borderId="0" applyNumberFormat="0" applyAlignment="0" applyProtection="0"/>
    <xf numFmtId="0" fontId="4" fillId="4" borderId="0" applyNumberFormat="0" applyBorder="0" applyAlignment="0" applyProtection="0"/>
  </cellStyleXfs>
  <cellXfs count="34">
    <xf numFmtId="0" fontId="0" fillId="0" borderId="0" xfId="0"/>
    <xf numFmtId="0" fontId="2" fillId="2" borderId="0" xfId="3" applyAlignment="1">
      <alignment vertical="center" wrapText="1"/>
    </xf>
    <xf numFmtId="0" fontId="2" fillId="2" borderId="0" xfId="3" quotePrefix="1" applyAlignment="1">
      <alignment vertical="center" wrapText="1"/>
    </xf>
    <xf numFmtId="0" fontId="2" fillId="2" borderId="0" xfId="9" applyAlignment="1">
      <alignment vertical="center" wrapText="1"/>
    </xf>
    <xf numFmtId="16" fontId="0" fillId="0" borderId="0" xfId="0" quotePrefix="1" applyNumberFormat="1"/>
    <xf numFmtId="17" fontId="0" fillId="0" borderId="0" xfId="0" quotePrefix="1" applyNumberFormat="1"/>
    <xf numFmtId="165" fontId="0" fillId="3" borderId="0" xfId="0" applyNumberFormat="1" applyFill="1"/>
    <xf numFmtId="165" fontId="0" fillId="3" borderId="0" xfId="2" applyNumberFormat="1" applyFont="1" applyFill="1"/>
    <xf numFmtId="9" fontId="0" fillId="0" borderId="0" xfId="0" applyNumberFormat="1"/>
    <xf numFmtId="165" fontId="4" fillId="4" borderId="0" xfId="10" applyNumberFormat="1"/>
    <xf numFmtId="0" fontId="5" fillId="0" borderId="0" xfId="0" applyFont="1"/>
    <xf numFmtId="16" fontId="0" fillId="0" borderId="0" xfId="0" applyNumberFormat="1"/>
    <xf numFmtId="0" fontId="3" fillId="5" borderId="0" xfId="0" applyFont="1" applyFill="1" applyAlignment="1">
      <alignment wrapText="1"/>
    </xf>
    <xf numFmtId="0" fontId="6" fillId="6" borderId="0" xfId="4"/>
    <xf numFmtId="166" fontId="6" fillId="6" borderId="0" xfId="1" applyNumberFormat="1" applyFont="1" applyFill="1"/>
    <xf numFmtId="165" fontId="4" fillId="8" borderId="0" xfId="2" applyNumberFormat="1" applyFont="1" applyFill="1"/>
    <xf numFmtId="9" fontId="4" fillId="8" borderId="0" xfId="2" applyFont="1" applyFill="1"/>
    <xf numFmtId="165" fontId="1" fillId="9" borderId="0" xfId="2" applyNumberFormat="1" applyFill="1"/>
    <xf numFmtId="165" fontId="4" fillId="6" borderId="0" xfId="7" applyNumberFormat="1" applyAlignment="1">
      <alignment vertical="center"/>
    </xf>
    <xf numFmtId="0" fontId="4" fillId="10" borderId="0" xfId="6" applyAlignment="1">
      <alignment vertical="center"/>
    </xf>
    <xf numFmtId="165" fontId="4" fillId="8" borderId="0" xfId="8" applyNumberFormat="1" applyFont="1" applyFill="1"/>
    <xf numFmtId="165" fontId="8" fillId="7" borderId="0" xfId="5" applyNumberFormat="1"/>
    <xf numFmtId="167" fontId="4" fillId="8" borderId="0" xfId="2" applyNumberFormat="1" applyFont="1" applyFill="1"/>
    <xf numFmtId="9" fontId="8" fillId="12" borderId="0" xfId="5" applyNumberFormat="1" applyFill="1"/>
    <xf numFmtId="0" fontId="8" fillId="7" borderId="0" xfId="5"/>
    <xf numFmtId="165" fontId="0" fillId="0" borderId="0" xfId="0" applyNumberFormat="1"/>
    <xf numFmtId="164" fontId="0" fillId="0" borderId="0" xfId="0" applyNumberFormat="1"/>
    <xf numFmtId="165" fontId="0" fillId="0" borderId="0" xfId="2" applyNumberFormat="1" applyFont="1"/>
    <xf numFmtId="0" fontId="9" fillId="0" borderId="0" xfId="0" applyFont="1"/>
    <xf numFmtId="10" fontId="0" fillId="0" borderId="0" xfId="2" applyNumberFormat="1" applyFont="1"/>
    <xf numFmtId="166" fontId="9" fillId="0" borderId="0" xfId="0" applyNumberFormat="1" applyFont="1"/>
    <xf numFmtId="0" fontId="10" fillId="6" borderId="0" xfId="4" applyFont="1"/>
    <xf numFmtId="166" fontId="10" fillId="6" borderId="0" xfId="1" applyNumberFormat="1" applyFont="1" applyFill="1"/>
    <xf numFmtId="0" fontId="0" fillId="0" borderId="0" xfId="0" applyAlignment="1">
      <alignment vertical="center"/>
    </xf>
  </cellXfs>
  <cellStyles count="11">
    <cellStyle name="60% - Accent5 2" xfId="10" xr:uid="{C78F6D70-200A-4382-A3E4-1E17BD468E6E}"/>
    <cellStyle name="Accent1" xfId="8" builtinId="29"/>
    <cellStyle name="Calculation" xfId="6" builtinId="22"/>
    <cellStyle name="Comma" xfId="1" builtinId="3"/>
    <cellStyle name="Heading 1" xfId="3" builtinId="16"/>
    <cellStyle name="Heading 1 2 2" xfId="9" xr:uid="{6BDBE544-ECFA-4158-91A3-F7072B061276}"/>
    <cellStyle name="Input" xfId="4" builtinId="20"/>
    <cellStyle name="Linked Cell" xfId="7" builtinId="24"/>
    <cellStyle name="Normal" xfId="0" builtinId="0"/>
    <cellStyle name="Output" xfId="5" builtinId="21"/>
    <cellStyle name="Percent" xfId="2" builtinId="5"/>
  </cellStyles>
  <dxfs count="0"/>
  <tableStyles count="1" defaultTableStyle="TableStyleMedium2" defaultPivotStyle="PivotStyleLight16">
    <tableStyle name="Invisible" pivot="0" table="0" count="0" xr9:uid="{2E00AB9A-33CD-4AA6-8A8D-49BE5AD3699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Actual vs. Expected Decrements</a:t>
            </a:r>
            <a:endParaRPr lang="en-GB">
              <a:effectLst/>
            </a:endParaRPr>
          </a:p>
        </c:rich>
      </c:tx>
      <c:overlay val="0"/>
    </c:title>
    <c:autoTitleDeleted val="0"/>
    <c:plotArea>
      <c:layout/>
      <c:barChart>
        <c:barDir val="col"/>
        <c:grouping val="stacked"/>
        <c:varyColors val="0"/>
        <c:ser>
          <c:idx val="0"/>
          <c:order val="0"/>
          <c:spPr>
            <a:noFill/>
          </c:spPr>
          <c:invertIfNegative val="0"/>
          <c:cat>
            <c:numRef>
              <c:f>'O. Analysis (lapse 3.8%)'!$T$8:$T$11</c:f>
              <c:numCache>
                <c:formatCode>General</c:formatCode>
                <c:ptCount val="4"/>
                <c:pt idx="0">
                  <c:v>2019</c:v>
                </c:pt>
                <c:pt idx="1">
                  <c:v>2020</c:v>
                </c:pt>
                <c:pt idx="2">
                  <c:v>2021</c:v>
                </c:pt>
                <c:pt idx="3">
                  <c:v>2022</c:v>
                </c:pt>
              </c:numCache>
            </c:numRef>
          </c:cat>
          <c:val>
            <c:numRef>
              <c:f>'O. Analysis (lapse 3.8%)'!$V$8:$V$11</c:f>
              <c:numCache>
                <c:formatCode>0.0%</c:formatCode>
                <c:ptCount val="4"/>
                <c:pt idx="0">
                  <c:v>0.75576611085470913</c:v>
                </c:pt>
                <c:pt idx="1">
                  <c:v>0.80413202279160445</c:v>
                </c:pt>
                <c:pt idx="2">
                  <c:v>0.82099831219279307</c:v>
                </c:pt>
                <c:pt idx="3">
                  <c:v>0.8209754388899797</c:v>
                </c:pt>
              </c:numCache>
            </c:numRef>
          </c:val>
          <c:extLst>
            <c:ext xmlns:c16="http://schemas.microsoft.com/office/drawing/2014/chart" uri="{C3380CC4-5D6E-409C-BE32-E72D297353CC}">
              <c16:uniqueId val="{00000000-593D-40EF-897E-60D31040B3BB}"/>
            </c:ext>
          </c:extLst>
        </c:ser>
        <c:ser>
          <c:idx val="1"/>
          <c:order val="1"/>
          <c:tx>
            <c:v>1 in 100 years</c:v>
          </c:tx>
          <c:spPr>
            <a:solidFill>
              <a:schemeClr val="accent2">
                <a:lumMod val="20000"/>
                <a:lumOff val="80000"/>
              </a:schemeClr>
            </a:solidFill>
          </c:spPr>
          <c:invertIfNegative val="0"/>
          <c:cat>
            <c:numRef>
              <c:f>'O. Analysis (lapse 3.8%)'!$T$8:$T$11</c:f>
              <c:numCache>
                <c:formatCode>General</c:formatCode>
                <c:ptCount val="4"/>
                <c:pt idx="0">
                  <c:v>2019</c:v>
                </c:pt>
                <c:pt idx="1">
                  <c:v>2020</c:v>
                </c:pt>
                <c:pt idx="2">
                  <c:v>2021</c:v>
                </c:pt>
                <c:pt idx="3">
                  <c:v>2022</c:v>
                </c:pt>
              </c:numCache>
            </c:numRef>
          </c:cat>
          <c:val>
            <c:numRef>
              <c:f>'O. Analysis (lapse 3.8%)'!$W$8:$W$11</c:f>
              <c:numCache>
                <c:formatCode>0.0%</c:formatCode>
                <c:ptCount val="4"/>
                <c:pt idx="0">
                  <c:v>9.823757937660238E-2</c:v>
                </c:pt>
                <c:pt idx="1">
                  <c:v>7.878348097260901E-2</c:v>
                </c:pt>
                <c:pt idx="2">
                  <c:v>7.1999396054514886E-2</c:v>
                </c:pt>
                <c:pt idx="3">
                  <c:v>7.2008596325241481E-2</c:v>
                </c:pt>
              </c:numCache>
            </c:numRef>
          </c:val>
          <c:extLst>
            <c:ext xmlns:c16="http://schemas.microsoft.com/office/drawing/2014/chart" uri="{C3380CC4-5D6E-409C-BE32-E72D297353CC}">
              <c16:uniqueId val="{00000001-593D-40EF-897E-60D31040B3BB}"/>
            </c:ext>
          </c:extLst>
        </c:ser>
        <c:ser>
          <c:idx val="2"/>
          <c:order val="2"/>
          <c:tx>
            <c:v>1 in 20 years</c:v>
          </c:tx>
          <c:spPr>
            <a:solidFill>
              <a:schemeClr val="accent2">
                <a:lumMod val="60000"/>
                <a:lumOff val="40000"/>
              </a:schemeClr>
            </a:solidFill>
          </c:spPr>
          <c:invertIfNegative val="0"/>
          <c:cat>
            <c:numRef>
              <c:f>'O. Analysis (lapse 3.8%)'!$T$8:$T$11</c:f>
              <c:numCache>
                <c:formatCode>General</c:formatCode>
                <c:ptCount val="4"/>
                <c:pt idx="0">
                  <c:v>2019</c:v>
                </c:pt>
                <c:pt idx="1">
                  <c:v>2020</c:v>
                </c:pt>
                <c:pt idx="2">
                  <c:v>2021</c:v>
                </c:pt>
                <c:pt idx="3">
                  <c:v>2022</c:v>
                </c:pt>
              </c:numCache>
            </c:numRef>
          </c:cat>
          <c:val>
            <c:numRef>
              <c:f>'O. Analysis (lapse 3.8%)'!$X$8:$X$11</c:f>
              <c:numCache>
                <c:formatCode>0.0%</c:formatCode>
                <c:ptCount val="4"/>
                <c:pt idx="0">
                  <c:v>5.3543048087940082E-2</c:v>
                </c:pt>
                <c:pt idx="1">
                  <c:v>4.2939858015845989E-2</c:v>
                </c:pt>
                <c:pt idx="2">
                  <c:v>3.9242285383181086E-2</c:v>
                </c:pt>
                <c:pt idx="3">
                  <c:v>3.9247299864818896E-2</c:v>
                </c:pt>
              </c:numCache>
            </c:numRef>
          </c:val>
          <c:extLst>
            <c:ext xmlns:c16="http://schemas.microsoft.com/office/drawing/2014/chart" uri="{C3380CC4-5D6E-409C-BE32-E72D297353CC}">
              <c16:uniqueId val="{00000002-593D-40EF-897E-60D31040B3BB}"/>
            </c:ext>
          </c:extLst>
        </c:ser>
        <c:ser>
          <c:idx val="3"/>
          <c:order val="3"/>
          <c:tx>
            <c:v>1 in 10 years</c:v>
          </c:tx>
          <c:spPr>
            <a:solidFill>
              <a:schemeClr val="accent2">
                <a:lumMod val="75000"/>
              </a:schemeClr>
            </a:solidFill>
          </c:spPr>
          <c:invertIfNegative val="0"/>
          <c:cat>
            <c:numRef>
              <c:f>'O. Analysis (lapse 3.8%)'!$T$8:$T$11</c:f>
              <c:numCache>
                <c:formatCode>General</c:formatCode>
                <c:ptCount val="4"/>
                <c:pt idx="0">
                  <c:v>2019</c:v>
                </c:pt>
                <c:pt idx="1">
                  <c:v>2020</c:v>
                </c:pt>
                <c:pt idx="2">
                  <c:v>2021</c:v>
                </c:pt>
                <c:pt idx="3">
                  <c:v>2022</c:v>
                </c:pt>
              </c:numCache>
            </c:numRef>
          </c:cat>
          <c:val>
            <c:numRef>
              <c:f>'O. Analysis (lapse 3.8%)'!$Y$8:$Y$11</c:f>
              <c:numCache>
                <c:formatCode>0.0%</c:formatCode>
                <c:ptCount val="4"/>
                <c:pt idx="0">
                  <c:v>0.2384495714494369</c:v>
                </c:pt>
                <c:pt idx="1">
                  <c:v>0.1912291344557272</c:v>
                </c:pt>
                <c:pt idx="2">
                  <c:v>0.17476229812220301</c:v>
                </c:pt>
                <c:pt idx="3">
                  <c:v>0.17478462970473874</c:v>
                </c:pt>
              </c:numCache>
            </c:numRef>
          </c:val>
          <c:extLst>
            <c:ext xmlns:c16="http://schemas.microsoft.com/office/drawing/2014/chart" uri="{C3380CC4-5D6E-409C-BE32-E72D297353CC}">
              <c16:uniqueId val="{00000003-593D-40EF-897E-60D31040B3BB}"/>
            </c:ext>
          </c:extLst>
        </c:ser>
        <c:ser>
          <c:idx val="4"/>
          <c:order val="4"/>
          <c:spPr>
            <a:solidFill>
              <a:schemeClr val="accent2">
                <a:lumMod val="60000"/>
                <a:lumOff val="40000"/>
              </a:schemeClr>
            </a:solidFill>
          </c:spPr>
          <c:invertIfNegative val="0"/>
          <c:cat>
            <c:numRef>
              <c:f>'O. Analysis (lapse 3.8%)'!$T$8:$T$11</c:f>
              <c:numCache>
                <c:formatCode>General</c:formatCode>
                <c:ptCount val="4"/>
                <c:pt idx="0">
                  <c:v>2019</c:v>
                </c:pt>
                <c:pt idx="1">
                  <c:v>2020</c:v>
                </c:pt>
                <c:pt idx="2">
                  <c:v>2021</c:v>
                </c:pt>
                <c:pt idx="3">
                  <c:v>2022</c:v>
                </c:pt>
              </c:numCache>
            </c:numRef>
          </c:cat>
          <c:val>
            <c:numRef>
              <c:f>'O. Analysis (lapse 3.8%)'!$Z$8:$Z$11</c:f>
              <c:numCache>
                <c:formatCode>0.0%</c:formatCode>
                <c:ptCount val="4"/>
                <c:pt idx="0">
                  <c:v>2.6784319147985958E-2</c:v>
                </c:pt>
                <c:pt idx="1">
                  <c:v>2.1480190283090561E-2</c:v>
                </c:pt>
                <c:pt idx="2">
                  <c:v>1.9630520363225434E-2</c:v>
                </c:pt>
                <c:pt idx="3">
                  <c:v>1.9633028802347852E-2</c:v>
                </c:pt>
              </c:numCache>
            </c:numRef>
          </c:val>
          <c:extLst>
            <c:ext xmlns:c16="http://schemas.microsoft.com/office/drawing/2014/chart" uri="{C3380CC4-5D6E-409C-BE32-E72D297353CC}">
              <c16:uniqueId val="{00000004-593D-40EF-897E-60D31040B3BB}"/>
            </c:ext>
          </c:extLst>
        </c:ser>
        <c:ser>
          <c:idx val="5"/>
          <c:order val="5"/>
          <c:spPr>
            <a:solidFill>
              <a:schemeClr val="accent2">
                <a:lumMod val="20000"/>
                <a:lumOff val="80000"/>
              </a:schemeClr>
            </a:solidFill>
          </c:spPr>
          <c:invertIfNegative val="0"/>
          <c:cat>
            <c:numRef>
              <c:f>'O. Analysis (lapse 3.8%)'!$T$8:$T$11</c:f>
              <c:numCache>
                <c:formatCode>General</c:formatCode>
                <c:ptCount val="4"/>
                <c:pt idx="0">
                  <c:v>2019</c:v>
                </c:pt>
                <c:pt idx="1">
                  <c:v>2020</c:v>
                </c:pt>
                <c:pt idx="2">
                  <c:v>2021</c:v>
                </c:pt>
                <c:pt idx="3">
                  <c:v>2022</c:v>
                </c:pt>
              </c:numCache>
            </c:numRef>
          </c:cat>
          <c:val>
            <c:numRef>
              <c:f>'O. Analysis (lapse 3.8%)'!$AA$8:$AA$11</c:f>
              <c:numCache>
                <c:formatCode>0.0%</c:formatCode>
                <c:ptCount val="4"/>
                <c:pt idx="0">
                  <c:v>0.1682145977193239</c:v>
                </c:pt>
                <c:pt idx="1">
                  <c:v>0.13490287161831094</c:v>
                </c:pt>
                <c:pt idx="2">
                  <c:v>0.12328631792640765</c:v>
                </c:pt>
                <c:pt idx="3">
                  <c:v>0.12330207177385555</c:v>
                </c:pt>
              </c:numCache>
            </c:numRef>
          </c:val>
          <c:extLst>
            <c:ext xmlns:c16="http://schemas.microsoft.com/office/drawing/2014/chart" uri="{C3380CC4-5D6E-409C-BE32-E72D297353CC}">
              <c16:uniqueId val="{00000005-593D-40EF-897E-60D31040B3BB}"/>
            </c:ext>
          </c:extLst>
        </c:ser>
        <c:dLbls>
          <c:showLegendKey val="0"/>
          <c:showVal val="0"/>
          <c:showCatName val="0"/>
          <c:showSerName val="0"/>
          <c:showPercent val="0"/>
          <c:showBubbleSize val="0"/>
        </c:dLbls>
        <c:gapWidth val="150"/>
        <c:overlap val="100"/>
        <c:axId val="285142880"/>
        <c:axId val="285143440"/>
      </c:barChart>
      <c:lineChart>
        <c:grouping val="standard"/>
        <c:varyColors val="0"/>
        <c:ser>
          <c:idx val="7"/>
          <c:order val="6"/>
          <c:tx>
            <c:v>Observed 5 year A/E</c:v>
          </c:tx>
          <c:spPr>
            <a:ln>
              <a:noFill/>
            </a:ln>
          </c:spPr>
          <c:marker>
            <c:symbol val="diamond"/>
            <c:size val="7"/>
            <c:spPr>
              <a:solidFill>
                <a:srgbClr val="0070C0"/>
              </a:solidFill>
              <a:ln>
                <a:noFill/>
              </a:ln>
            </c:spPr>
          </c:marker>
          <c:cat>
            <c:numRef>
              <c:f>'O. Analysis (lapse 3.8%)'!$T$8:$T$11</c:f>
              <c:numCache>
                <c:formatCode>General</c:formatCode>
                <c:ptCount val="4"/>
                <c:pt idx="0">
                  <c:v>2019</c:v>
                </c:pt>
                <c:pt idx="1">
                  <c:v>2020</c:v>
                </c:pt>
                <c:pt idx="2">
                  <c:v>2021</c:v>
                </c:pt>
                <c:pt idx="3">
                  <c:v>2022</c:v>
                </c:pt>
              </c:numCache>
            </c:numRef>
          </c:cat>
          <c:val>
            <c:numRef>
              <c:f>'O. Analysis (lapse 3.8%)'!$U$8:$U$11</c:f>
              <c:numCache>
                <c:formatCode>0%</c:formatCode>
                <c:ptCount val="4"/>
                <c:pt idx="0">
                  <c:v>1.0238241377302997</c:v>
                </c:pt>
                <c:pt idx="1">
                  <c:v>1.0581406704184002</c:v>
                </c:pt>
                <c:pt idx="2">
                  <c:v>1.1416870843228715</c:v>
                </c:pt>
                <c:pt idx="3">
                  <c:v>1.2071225084249415</c:v>
                </c:pt>
              </c:numCache>
            </c:numRef>
          </c:val>
          <c:smooth val="0"/>
          <c:extLst>
            <c:ext xmlns:c16="http://schemas.microsoft.com/office/drawing/2014/chart" uri="{C3380CC4-5D6E-409C-BE32-E72D297353CC}">
              <c16:uniqueId val="{00000006-593D-40EF-897E-60D31040B3BB}"/>
            </c:ext>
          </c:extLst>
        </c:ser>
        <c:dLbls>
          <c:showLegendKey val="0"/>
          <c:showVal val="0"/>
          <c:showCatName val="0"/>
          <c:showSerName val="0"/>
          <c:showPercent val="0"/>
          <c:showBubbleSize val="0"/>
        </c:dLbls>
        <c:marker val="1"/>
        <c:smooth val="0"/>
        <c:axId val="285142880"/>
        <c:axId val="285143440"/>
      </c:lineChart>
      <c:catAx>
        <c:axId val="285142880"/>
        <c:scaling>
          <c:orientation val="minMax"/>
        </c:scaling>
        <c:delete val="0"/>
        <c:axPos val="b"/>
        <c:title>
          <c:tx>
            <c:rich>
              <a:bodyPr/>
              <a:lstStyle/>
              <a:p>
                <a:pPr>
                  <a:defRPr/>
                </a:pPr>
                <a:r>
                  <a:rPr lang="en-GB"/>
                  <a:t>Year</a:t>
                </a:r>
              </a:p>
            </c:rich>
          </c:tx>
          <c:overlay val="0"/>
        </c:title>
        <c:numFmt formatCode="General" sourceLinked="1"/>
        <c:majorTickMark val="out"/>
        <c:minorTickMark val="none"/>
        <c:tickLblPos val="nextTo"/>
        <c:crossAx val="285143440"/>
        <c:crosses val="autoZero"/>
        <c:auto val="1"/>
        <c:lblAlgn val="ctr"/>
        <c:lblOffset val="100"/>
        <c:noMultiLvlLbl val="0"/>
      </c:catAx>
      <c:valAx>
        <c:axId val="285143440"/>
        <c:scaling>
          <c:orientation val="minMax"/>
          <c:max val="1.4"/>
          <c:min val="0.5"/>
        </c:scaling>
        <c:delete val="0"/>
        <c:axPos val="l"/>
        <c:majorGridlines/>
        <c:title>
          <c:tx>
            <c:rich>
              <a:bodyPr/>
              <a:lstStyle/>
              <a:p>
                <a:pPr>
                  <a:defRPr/>
                </a:pPr>
                <a:r>
                  <a:rPr lang="en-GB"/>
                  <a:t>Actual vs Expected</a:t>
                </a:r>
              </a:p>
            </c:rich>
          </c:tx>
          <c:overlay val="0"/>
        </c:title>
        <c:numFmt formatCode="0.0%" sourceLinked="1"/>
        <c:majorTickMark val="out"/>
        <c:minorTickMark val="none"/>
        <c:tickLblPos val="nextTo"/>
        <c:crossAx val="285142880"/>
        <c:crosses val="autoZero"/>
        <c:crossBetween val="between"/>
      </c:valAx>
    </c:plotArea>
    <c:legend>
      <c:legendPos val="r"/>
      <c:legendEntry>
        <c:idx val="0"/>
        <c:delete val="1"/>
      </c:legendEntry>
      <c:legendEntry>
        <c:idx val="1"/>
        <c:delete val="1"/>
      </c:legendEntry>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Actual vs. Expected Decrements</a:t>
            </a:r>
          </a:p>
        </c:rich>
      </c:tx>
      <c:overlay val="0"/>
    </c:title>
    <c:autoTitleDeleted val="0"/>
    <c:plotArea>
      <c:layout/>
      <c:barChart>
        <c:barDir val="col"/>
        <c:grouping val="stacked"/>
        <c:varyColors val="0"/>
        <c:ser>
          <c:idx val="0"/>
          <c:order val="0"/>
          <c:spPr>
            <a:noFill/>
          </c:spPr>
          <c:invertIfNegative val="0"/>
          <c:cat>
            <c:numRef>
              <c:f>'O. Analysis (lapse 4.2%)'!$T$8:$T$11</c:f>
              <c:numCache>
                <c:formatCode>General</c:formatCode>
                <c:ptCount val="4"/>
                <c:pt idx="0">
                  <c:v>2019</c:v>
                </c:pt>
                <c:pt idx="1">
                  <c:v>2020</c:v>
                </c:pt>
                <c:pt idx="2">
                  <c:v>2021</c:v>
                </c:pt>
                <c:pt idx="3">
                  <c:v>2022</c:v>
                </c:pt>
              </c:numCache>
            </c:numRef>
          </c:cat>
          <c:val>
            <c:numRef>
              <c:f>'O. Analysis (lapse 4.2%)'!$V$8:$V$11</c:f>
              <c:numCache>
                <c:formatCode>0.0%</c:formatCode>
                <c:ptCount val="4"/>
                <c:pt idx="0">
                  <c:v>0.77902648124949636</c:v>
                </c:pt>
                <c:pt idx="1">
                  <c:v>0.82278611585906991</c:v>
                </c:pt>
                <c:pt idx="2">
                  <c:v>0.83804609198395563</c:v>
                </c:pt>
                <c:pt idx="3">
                  <c:v>0.83802539709093404</c:v>
                </c:pt>
              </c:numCache>
            </c:numRef>
          </c:val>
          <c:extLst>
            <c:ext xmlns:c16="http://schemas.microsoft.com/office/drawing/2014/chart" uri="{C3380CC4-5D6E-409C-BE32-E72D297353CC}">
              <c16:uniqueId val="{00000000-99C5-4EFD-9FA0-7BC6A3DB3E7B}"/>
            </c:ext>
          </c:extLst>
        </c:ser>
        <c:ser>
          <c:idx val="1"/>
          <c:order val="1"/>
          <c:tx>
            <c:v>1 in 100 years</c:v>
          </c:tx>
          <c:spPr>
            <a:solidFill>
              <a:schemeClr val="accent2">
                <a:lumMod val="20000"/>
                <a:lumOff val="80000"/>
              </a:schemeClr>
            </a:solidFill>
          </c:spPr>
          <c:invertIfNegative val="0"/>
          <c:cat>
            <c:numRef>
              <c:f>'O. Analysis (lapse 4.2%)'!$T$8:$T$11</c:f>
              <c:numCache>
                <c:formatCode>General</c:formatCode>
                <c:ptCount val="4"/>
                <c:pt idx="0">
                  <c:v>2019</c:v>
                </c:pt>
                <c:pt idx="1">
                  <c:v>2020</c:v>
                </c:pt>
                <c:pt idx="2">
                  <c:v>2021</c:v>
                </c:pt>
                <c:pt idx="3">
                  <c:v>2022</c:v>
                </c:pt>
              </c:numCache>
            </c:numRef>
          </c:cat>
          <c:val>
            <c:numRef>
              <c:f>'O. Analysis (lapse 4.2%)'!$W$8:$W$11</c:f>
              <c:numCache>
                <c:formatCode>0.0%</c:formatCode>
                <c:ptCount val="4"/>
                <c:pt idx="0">
                  <c:v>8.8881619435974613E-2</c:v>
                </c:pt>
                <c:pt idx="1">
                  <c:v>7.1280292308551263E-2</c:v>
                </c:pt>
                <c:pt idx="2">
                  <c:v>6.5142310715989638E-2</c:v>
                </c:pt>
                <c:pt idx="3">
                  <c:v>6.5150634770456572E-2</c:v>
                </c:pt>
              </c:numCache>
            </c:numRef>
          </c:val>
          <c:extLst>
            <c:ext xmlns:c16="http://schemas.microsoft.com/office/drawing/2014/chart" uri="{C3380CC4-5D6E-409C-BE32-E72D297353CC}">
              <c16:uniqueId val="{00000001-99C5-4EFD-9FA0-7BC6A3DB3E7B}"/>
            </c:ext>
          </c:extLst>
        </c:ser>
        <c:ser>
          <c:idx val="2"/>
          <c:order val="2"/>
          <c:tx>
            <c:v>1 in 20 years</c:v>
          </c:tx>
          <c:spPr>
            <a:solidFill>
              <a:schemeClr val="accent2">
                <a:lumMod val="60000"/>
                <a:lumOff val="40000"/>
              </a:schemeClr>
            </a:solidFill>
          </c:spPr>
          <c:invertIfNegative val="0"/>
          <c:cat>
            <c:numRef>
              <c:f>'O. Analysis (lapse 4.2%)'!$T$8:$T$11</c:f>
              <c:numCache>
                <c:formatCode>General</c:formatCode>
                <c:ptCount val="4"/>
                <c:pt idx="0">
                  <c:v>2019</c:v>
                </c:pt>
                <c:pt idx="1">
                  <c:v>2020</c:v>
                </c:pt>
                <c:pt idx="2">
                  <c:v>2021</c:v>
                </c:pt>
                <c:pt idx="3">
                  <c:v>2022</c:v>
                </c:pt>
              </c:numCache>
            </c:numRef>
          </c:cat>
          <c:val>
            <c:numRef>
              <c:f>'O. Analysis (lapse 4.2%)'!$X$8:$X$11</c:f>
              <c:numCache>
                <c:formatCode>0.0%</c:formatCode>
                <c:ptCount val="4"/>
                <c:pt idx="0">
                  <c:v>4.8443710174803312E-2</c:v>
                </c:pt>
                <c:pt idx="1">
                  <c:v>3.8850347728622725E-2</c:v>
                </c:pt>
                <c:pt idx="2">
                  <c:v>3.5504924870497168E-2</c:v>
                </c:pt>
                <c:pt idx="3">
                  <c:v>3.5509461782455176E-2</c:v>
                </c:pt>
              </c:numCache>
            </c:numRef>
          </c:val>
          <c:extLst>
            <c:ext xmlns:c16="http://schemas.microsoft.com/office/drawing/2014/chart" uri="{C3380CC4-5D6E-409C-BE32-E72D297353CC}">
              <c16:uniqueId val="{00000002-99C5-4EFD-9FA0-7BC6A3DB3E7B}"/>
            </c:ext>
          </c:extLst>
        </c:ser>
        <c:ser>
          <c:idx val="3"/>
          <c:order val="3"/>
          <c:tx>
            <c:v>1 in 10 years</c:v>
          </c:tx>
          <c:spPr>
            <a:solidFill>
              <a:schemeClr val="accent2">
                <a:lumMod val="75000"/>
              </a:schemeClr>
            </a:solidFill>
          </c:spPr>
          <c:invertIfNegative val="0"/>
          <c:cat>
            <c:numRef>
              <c:f>'O. Analysis (lapse 4.2%)'!$T$8:$T$11</c:f>
              <c:numCache>
                <c:formatCode>General</c:formatCode>
                <c:ptCount val="4"/>
                <c:pt idx="0">
                  <c:v>2019</c:v>
                </c:pt>
                <c:pt idx="1">
                  <c:v>2020</c:v>
                </c:pt>
                <c:pt idx="2">
                  <c:v>2021</c:v>
                </c:pt>
                <c:pt idx="3">
                  <c:v>2022</c:v>
                </c:pt>
              </c:numCache>
            </c:numRef>
          </c:cat>
          <c:val>
            <c:numRef>
              <c:f>'O. Analysis (lapse 4.2%)'!$Y$8:$Y$11</c:f>
              <c:numCache>
                <c:formatCode>0.0%</c:formatCode>
                <c:ptCount val="4"/>
                <c:pt idx="0">
                  <c:v>0.21574008845425474</c:v>
                </c:pt>
                <c:pt idx="1">
                  <c:v>0.17301683593613504</c:v>
                </c:pt>
                <c:pt idx="2">
                  <c:v>0.15811826972961229</c:v>
                </c:pt>
                <c:pt idx="3">
                  <c:v>0.15813847449476359</c:v>
                </c:pt>
              </c:numCache>
            </c:numRef>
          </c:val>
          <c:extLst>
            <c:ext xmlns:c16="http://schemas.microsoft.com/office/drawing/2014/chart" uri="{C3380CC4-5D6E-409C-BE32-E72D297353CC}">
              <c16:uniqueId val="{00000003-99C5-4EFD-9FA0-7BC6A3DB3E7B}"/>
            </c:ext>
          </c:extLst>
        </c:ser>
        <c:ser>
          <c:idx val="4"/>
          <c:order val="4"/>
          <c:spPr>
            <a:solidFill>
              <a:schemeClr val="accent2">
                <a:lumMod val="60000"/>
                <a:lumOff val="40000"/>
              </a:schemeClr>
            </a:solidFill>
          </c:spPr>
          <c:invertIfNegative val="0"/>
          <c:cat>
            <c:numRef>
              <c:f>'O. Analysis (lapse 4.2%)'!$T$8:$T$11</c:f>
              <c:numCache>
                <c:formatCode>General</c:formatCode>
                <c:ptCount val="4"/>
                <c:pt idx="0">
                  <c:v>2019</c:v>
                </c:pt>
                <c:pt idx="1">
                  <c:v>2020</c:v>
                </c:pt>
                <c:pt idx="2">
                  <c:v>2021</c:v>
                </c:pt>
                <c:pt idx="3">
                  <c:v>2022</c:v>
                </c:pt>
              </c:numCache>
            </c:numRef>
          </c:cat>
          <c:val>
            <c:numRef>
              <c:f>'O. Analysis (lapse 4.2%)'!$Z$8:$Z$11</c:f>
              <c:numCache>
                <c:formatCode>0.0%</c:formatCode>
                <c:ptCount val="4"/>
                <c:pt idx="0">
                  <c:v>2.4233431610082956E-2</c:v>
                </c:pt>
                <c:pt idx="1">
                  <c:v>1.943445787517728E-2</c:v>
                </c:pt>
                <c:pt idx="2">
                  <c:v>1.7760946995299287E-2</c:v>
                </c:pt>
                <c:pt idx="3">
                  <c:v>1.7763216535457538E-2</c:v>
                </c:pt>
              </c:numCache>
            </c:numRef>
          </c:val>
          <c:extLst>
            <c:ext xmlns:c16="http://schemas.microsoft.com/office/drawing/2014/chart" uri="{C3380CC4-5D6E-409C-BE32-E72D297353CC}">
              <c16:uniqueId val="{00000004-99C5-4EFD-9FA0-7BC6A3DB3E7B}"/>
            </c:ext>
          </c:extLst>
        </c:ser>
        <c:ser>
          <c:idx val="5"/>
          <c:order val="5"/>
          <c:spPr>
            <a:solidFill>
              <a:schemeClr val="accent2">
                <a:lumMod val="20000"/>
                <a:lumOff val="80000"/>
              </a:schemeClr>
            </a:solidFill>
          </c:spPr>
          <c:invertIfNegative val="0"/>
          <c:cat>
            <c:numRef>
              <c:f>'O. Analysis (lapse 4.2%)'!$T$8:$T$11</c:f>
              <c:numCache>
                <c:formatCode>General</c:formatCode>
                <c:ptCount val="4"/>
                <c:pt idx="0">
                  <c:v>2019</c:v>
                </c:pt>
                <c:pt idx="1">
                  <c:v>2020</c:v>
                </c:pt>
                <c:pt idx="2">
                  <c:v>2021</c:v>
                </c:pt>
                <c:pt idx="3">
                  <c:v>2022</c:v>
                </c:pt>
              </c:numCache>
            </c:numRef>
          </c:cat>
          <c:val>
            <c:numRef>
              <c:f>'O. Analysis (lapse 4.2%)'!$AA$8:$AA$11</c:f>
              <c:numCache>
                <c:formatCode>0.0%</c:formatCode>
                <c:ptCount val="4"/>
                <c:pt idx="0">
                  <c:v>0.15219415984129459</c:v>
                </c:pt>
                <c:pt idx="1">
                  <c:v>0.12205497908323415</c:v>
                </c:pt>
                <c:pt idx="2">
                  <c:v>0.11154476383817813</c:v>
                </c:pt>
                <c:pt idx="3">
                  <c:v>0.1115590173192027</c:v>
                </c:pt>
              </c:numCache>
            </c:numRef>
          </c:val>
          <c:extLst>
            <c:ext xmlns:c16="http://schemas.microsoft.com/office/drawing/2014/chart" uri="{C3380CC4-5D6E-409C-BE32-E72D297353CC}">
              <c16:uniqueId val="{00000005-99C5-4EFD-9FA0-7BC6A3DB3E7B}"/>
            </c:ext>
          </c:extLst>
        </c:ser>
        <c:dLbls>
          <c:showLegendKey val="0"/>
          <c:showVal val="0"/>
          <c:showCatName val="0"/>
          <c:showSerName val="0"/>
          <c:showPercent val="0"/>
          <c:showBubbleSize val="0"/>
        </c:dLbls>
        <c:gapWidth val="150"/>
        <c:overlap val="100"/>
        <c:axId val="285142880"/>
        <c:axId val="285143440"/>
      </c:barChart>
      <c:lineChart>
        <c:grouping val="standard"/>
        <c:varyColors val="0"/>
        <c:ser>
          <c:idx val="7"/>
          <c:order val="6"/>
          <c:tx>
            <c:v>Observed 5 year A/E</c:v>
          </c:tx>
          <c:spPr>
            <a:ln>
              <a:noFill/>
            </a:ln>
          </c:spPr>
          <c:marker>
            <c:symbol val="diamond"/>
            <c:size val="7"/>
            <c:spPr>
              <a:solidFill>
                <a:srgbClr val="0070C0"/>
              </a:solidFill>
              <a:ln>
                <a:noFill/>
              </a:ln>
            </c:spPr>
          </c:marker>
          <c:cat>
            <c:numRef>
              <c:f>'O. Analysis (lapse 4.2%)'!$T$8:$T$11</c:f>
              <c:numCache>
                <c:formatCode>General</c:formatCode>
                <c:ptCount val="4"/>
                <c:pt idx="0">
                  <c:v>2019</c:v>
                </c:pt>
                <c:pt idx="1">
                  <c:v>2020</c:v>
                </c:pt>
                <c:pt idx="2">
                  <c:v>2021</c:v>
                </c:pt>
                <c:pt idx="3">
                  <c:v>2022</c:v>
                </c:pt>
              </c:numCache>
            </c:numRef>
          </c:cat>
          <c:val>
            <c:numRef>
              <c:f>'O. Analysis (lapse 4.2%)'!$U$8:$U$11</c:f>
              <c:numCache>
                <c:formatCode>0%</c:formatCode>
                <c:ptCount val="4"/>
                <c:pt idx="0">
                  <c:v>0.92631707699408061</c:v>
                </c:pt>
                <c:pt idx="1">
                  <c:v>0.9573653684737905</c:v>
                </c:pt>
                <c:pt idx="2">
                  <c:v>1.0329549810540264</c:v>
                </c:pt>
                <c:pt idx="3">
                  <c:v>1.0921584600035183</c:v>
                </c:pt>
              </c:numCache>
            </c:numRef>
          </c:val>
          <c:smooth val="0"/>
          <c:extLst>
            <c:ext xmlns:c16="http://schemas.microsoft.com/office/drawing/2014/chart" uri="{C3380CC4-5D6E-409C-BE32-E72D297353CC}">
              <c16:uniqueId val="{00000006-99C5-4EFD-9FA0-7BC6A3DB3E7B}"/>
            </c:ext>
          </c:extLst>
        </c:ser>
        <c:dLbls>
          <c:showLegendKey val="0"/>
          <c:showVal val="0"/>
          <c:showCatName val="0"/>
          <c:showSerName val="0"/>
          <c:showPercent val="0"/>
          <c:showBubbleSize val="0"/>
        </c:dLbls>
        <c:marker val="1"/>
        <c:smooth val="0"/>
        <c:axId val="285142880"/>
        <c:axId val="285143440"/>
      </c:lineChart>
      <c:catAx>
        <c:axId val="285142880"/>
        <c:scaling>
          <c:orientation val="minMax"/>
        </c:scaling>
        <c:delete val="0"/>
        <c:axPos val="b"/>
        <c:title>
          <c:tx>
            <c:rich>
              <a:bodyPr/>
              <a:lstStyle/>
              <a:p>
                <a:pPr>
                  <a:defRPr/>
                </a:pPr>
                <a:r>
                  <a:rPr lang="en-GB"/>
                  <a:t>Year</a:t>
                </a:r>
              </a:p>
            </c:rich>
          </c:tx>
          <c:overlay val="0"/>
        </c:title>
        <c:numFmt formatCode="General" sourceLinked="1"/>
        <c:majorTickMark val="out"/>
        <c:minorTickMark val="none"/>
        <c:tickLblPos val="nextTo"/>
        <c:crossAx val="285143440"/>
        <c:crosses val="autoZero"/>
        <c:auto val="1"/>
        <c:lblAlgn val="ctr"/>
        <c:lblOffset val="100"/>
        <c:noMultiLvlLbl val="0"/>
      </c:catAx>
      <c:valAx>
        <c:axId val="285143440"/>
        <c:scaling>
          <c:orientation val="minMax"/>
          <c:max val="1.4"/>
          <c:min val="0.5"/>
        </c:scaling>
        <c:delete val="0"/>
        <c:axPos val="l"/>
        <c:majorGridlines/>
        <c:title>
          <c:tx>
            <c:rich>
              <a:bodyPr/>
              <a:lstStyle/>
              <a:p>
                <a:pPr>
                  <a:defRPr/>
                </a:pPr>
                <a:r>
                  <a:rPr lang="en-GB"/>
                  <a:t>Actual vs Expected</a:t>
                </a:r>
              </a:p>
            </c:rich>
          </c:tx>
          <c:overlay val="0"/>
        </c:title>
        <c:numFmt formatCode="0.0%" sourceLinked="1"/>
        <c:majorTickMark val="out"/>
        <c:minorTickMark val="none"/>
        <c:tickLblPos val="nextTo"/>
        <c:crossAx val="285142880"/>
        <c:crosses val="autoZero"/>
        <c:crossBetween val="between"/>
      </c:valAx>
    </c:plotArea>
    <c:legend>
      <c:legendPos val="r"/>
      <c:legendEntry>
        <c:idx val="0"/>
        <c:delete val="1"/>
      </c:legendEntry>
      <c:legendEntry>
        <c:idx val="1"/>
        <c:delete val="1"/>
      </c:legendEntry>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273744</xdr:colOff>
      <xdr:row>13</xdr:row>
      <xdr:rowOff>67234</xdr:rowOff>
    </xdr:from>
    <xdr:to>
      <xdr:col>10</xdr:col>
      <xdr:colOff>828115</xdr:colOff>
      <xdr:row>26</xdr:row>
      <xdr:rowOff>168087</xdr:rowOff>
    </xdr:to>
    <xdr:graphicFrame macro="">
      <xdr:nvGraphicFramePr>
        <xdr:cNvPr id="2" name="Chart 1">
          <a:extLst>
            <a:ext uri="{FF2B5EF4-FFF2-40B4-BE49-F238E27FC236}">
              <a16:creationId xmlns:a16="http://schemas.microsoft.com/office/drawing/2014/main" id="{D231F3C6-3FDF-4C54-8F80-FFEAA1336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578544</xdr:colOff>
      <xdr:row>12</xdr:row>
      <xdr:rowOff>76759</xdr:rowOff>
    </xdr:from>
    <xdr:to>
      <xdr:col>7</xdr:col>
      <xdr:colOff>304240</xdr:colOff>
      <xdr:row>25</xdr:row>
      <xdr:rowOff>177612</xdr:rowOff>
    </xdr:to>
    <xdr:graphicFrame macro="">
      <xdr:nvGraphicFramePr>
        <xdr:cNvPr id="2" name="Chart 1">
          <a:extLst>
            <a:ext uri="{FF2B5EF4-FFF2-40B4-BE49-F238E27FC236}">
              <a16:creationId xmlns:a16="http://schemas.microsoft.com/office/drawing/2014/main" id="{A21D6E61-E76F-4985-99D6-2DF04C8B8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1D2C0-8195-456A-936D-744590DDAA4D}">
  <dimension ref="A1:C10"/>
  <sheetViews>
    <sheetView workbookViewId="0">
      <selection activeCell="J18" sqref="J18"/>
    </sheetView>
  </sheetViews>
  <sheetFormatPr defaultRowHeight="14.5" x14ac:dyDescent="0.35"/>
  <cols>
    <col min="1" max="3" width="25" customWidth="1"/>
  </cols>
  <sheetData>
    <row r="1" spans="1:3" x14ac:dyDescent="0.35">
      <c r="A1" t="s">
        <v>32</v>
      </c>
    </row>
    <row r="2" spans="1:3" ht="29" x14ac:dyDescent="0.35">
      <c r="A2" s="1" t="s">
        <v>11</v>
      </c>
      <c r="B2" s="1" t="s">
        <v>30</v>
      </c>
      <c r="C2" s="1" t="s">
        <v>31</v>
      </c>
    </row>
    <row r="3" spans="1:3" x14ac:dyDescent="0.35">
      <c r="A3" s="13">
        <v>2015</v>
      </c>
      <c r="B3" s="14">
        <v>143767445.83456168</v>
      </c>
      <c r="C3" s="14">
        <f>60887287.6382082*2</f>
        <v>121774575.27641641</v>
      </c>
    </row>
    <row r="4" spans="1:3" x14ac:dyDescent="0.35">
      <c r="A4" s="13">
        <f>+A3+1</f>
        <v>2016</v>
      </c>
      <c r="B4" s="14">
        <v>181244021.85922524</v>
      </c>
      <c r="C4" s="14">
        <f>80945408.1836612*2</f>
        <v>161890816.36732239</v>
      </c>
    </row>
    <row r="5" spans="1:3" x14ac:dyDescent="0.35">
      <c r="A5" s="13">
        <f>+A4+1</f>
        <v>2017</v>
      </c>
      <c r="B5" s="14">
        <v>178138757.83373231</v>
      </c>
      <c r="C5" s="14">
        <v>181177802.14000002</v>
      </c>
    </row>
    <row r="6" spans="1:3" x14ac:dyDescent="0.35">
      <c r="A6" s="13">
        <f t="shared" ref="A6:A9" si="0">+A5+1</f>
        <v>2018</v>
      </c>
      <c r="B6" s="14">
        <v>152604107.16227698</v>
      </c>
      <c r="C6" s="14">
        <v>191588137.72</v>
      </c>
    </row>
    <row r="7" spans="1:3" x14ac:dyDescent="0.35">
      <c r="A7" s="13">
        <f t="shared" si="0"/>
        <v>2019</v>
      </c>
      <c r="B7" s="14">
        <v>170349128.5244962</v>
      </c>
      <c r="C7" s="14">
        <v>189353332.35000002</v>
      </c>
    </row>
    <row r="8" spans="1:3" x14ac:dyDescent="0.35">
      <c r="A8" s="13">
        <f t="shared" si="0"/>
        <v>2020</v>
      </c>
      <c r="B8" s="14">
        <v>186216000.24586678</v>
      </c>
      <c r="C8" s="14">
        <v>195040123.52999997</v>
      </c>
    </row>
    <row r="9" spans="1:3" x14ac:dyDescent="0.35">
      <c r="A9" s="13">
        <f t="shared" si="0"/>
        <v>2021</v>
      </c>
      <c r="B9" s="14">
        <v>191499663.91600043</v>
      </c>
      <c r="C9" s="14">
        <v>246163956.63999999</v>
      </c>
    </row>
    <row r="10" spans="1:3" x14ac:dyDescent="0.35">
      <c r="A10" s="13">
        <f>+A9+1</f>
        <v>2022</v>
      </c>
      <c r="B10" s="14">
        <v>187968156.78255057</v>
      </c>
      <c r="C10" s="14">
        <v>250548242.64000005</v>
      </c>
    </row>
  </sheetData>
  <pageMargins left="0.7" right="0.7" top="0.75" bottom="0.75" header="0.3" footer="0.3"/>
  <customProperties>
    <customPr name="EpmWorksheetKeyString_GU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BA92D-704A-46BA-8B90-071FADF54621}">
  <sheetPr>
    <tabColor theme="0" tint="-0.249977111117893"/>
  </sheetPr>
  <dimension ref="A1:AA33"/>
  <sheetViews>
    <sheetView topLeftCell="A25" workbookViewId="0">
      <selection activeCell="A33" sqref="A33"/>
    </sheetView>
  </sheetViews>
  <sheetFormatPr defaultColWidth="9.08984375" defaultRowHeight="14.5" x14ac:dyDescent="0.35"/>
  <cols>
    <col min="1" max="1" width="5.453125" customWidth="1"/>
    <col min="3" max="3" width="17.54296875" hidden="1" customWidth="1"/>
    <col min="4" max="4" width="16.6328125" hidden="1" customWidth="1"/>
    <col min="5" max="5" width="15.36328125" customWidth="1"/>
    <col min="6" max="6" width="14.36328125" customWidth="1"/>
    <col min="7" max="10" width="9.54296875" customWidth="1"/>
    <col min="11" max="11" width="16.54296875" customWidth="1"/>
    <col min="12" max="18" width="9.54296875" customWidth="1"/>
  </cols>
  <sheetData>
    <row r="1" spans="1:27" x14ac:dyDescent="0.35">
      <c r="A1" s="1"/>
      <c r="B1" s="1" t="s">
        <v>0</v>
      </c>
      <c r="C1" s="1"/>
      <c r="D1" s="2" t="s">
        <v>1</v>
      </c>
      <c r="E1" s="1"/>
      <c r="F1" s="1" t="s">
        <v>2</v>
      </c>
      <c r="G1" s="3" t="s">
        <v>3</v>
      </c>
      <c r="H1" s="3" t="s">
        <v>4</v>
      </c>
      <c r="I1" s="3" t="s">
        <v>5</v>
      </c>
      <c r="J1" s="3" t="s">
        <v>6</v>
      </c>
      <c r="M1" s="4" t="s">
        <v>7</v>
      </c>
      <c r="N1" s="4" t="s">
        <v>7</v>
      </c>
      <c r="O1" s="5" t="s">
        <v>8</v>
      </c>
      <c r="P1" s="5" t="s">
        <v>8</v>
      </c>
      <c r="Q1" t="s">
        <v>9</v>
      </c>
      <c r="R1" t="s">
        <v>9</v>
      </c>
    </row>
    <row r="2" spans="1:27" x14ac:dyDescent="0.35">
      <c r="F2" s="6">
        <f>SUM(F5:F11)/SUM(E5:E11)</f>
        <v>1.1344069783035136</v>
      </c>
      <c r="G2" s="7">
        <f>SUM(F7:F11)/SUM(E7:E11)</f>
        <v>1.2071225084249415</v>
      </c>
      <c r="H2" s="7">
        <f>SUM(F10:F11)/SUM(E10:E11)</f>
        <v>1.3089705429188103</v>
      </c>
      <c r="I2" s="7">
        <f>F11/E11</f>
        <v>1.3329291882658867</v>
      </c>
      <c r="J2" s="7">
        <f>SQRT(I11)</f>
        <v>0.12139358306310682</v>
      </c>
      <c r="K2" s="8">
        <v>1</v>
      </c>
      <c r="M2" s="9">
        <v>0.86</v>
      </c>
      <c r="N2" s="9">
        <v>0.94</v>
      </c>
      <c r="O2" s="9">
        <v>0.94</v>
      </c>
      <c r="P2" s="9">
        <v>0.96</v>
      </c>
      <c r="Q2" s="9">
        <v>0.98499999999999999</v>
      </c>
      <c r="R2" s="9">
        <v>0.995</v>
      </c>
      <c r="S2" s="10" t="s">
        <v>10</v>
      </c>
      <c r="V2" s="11" t="str">
        <f>M1</f>
        <v>1/10</v>
      </c>
      <c r="W2" s="11" t="str">
        <f t="shared" ref="W2:AA2" si="0">N1</f>
        <v>1/10</v>
      </c>
      <c r="X2" s="11" t="str">
        <f t="shared" si="0"/>
        <v>1/20</v>
      </c>
      <c r="Y2" s="11" t="str">
        <f t="shared" si="0"/>
        <v>1/20</v>
      </c>
      <c r="Z2" s="11" t="str">
        <f t="shared" si="0"/>
        <v>1/100</v>
      </c>
      <c r="AA2" s="11" t="str">
        <f t="shared" si="0"/>
        <v>1/100</v>
      </c>
    </row>
    <row r="3" spans="1:27" ht="43.5" x14ac:dyDescent="0.35">
      <c r="B3" s="1" t="s">
        <v>11</v>
      </c>
      <c r="C3" s="1" t="s">
        <v>35</v>
      </c>
      <c r="D3" s="1" t="s">
        <v>12</v>
      </c>
      <c r="E3" s="1" t="s">
        <v>13</v>
      </c>
      <c r="F3" s="1" t="s">
        <v>14</v>
      </c>
      <c r="G3" s="1" t="s">
        <v>15</v>
      </c>
      <c r="H3" s="1" t="s">
        <v>16</v>
      </c>
      <c r="I3" s="1" t="s">
        <v>17</v>
      </c>
      <c r="J3" s="1" t="s">
        <v>18</v>
      </c>
      <c r="K3" s="1" t="s">
        <v>29</v>
      </c>
      <c r="L3" s="1" t="s">
        <v>19</v>
      </c>
      <c r="M3" s="1" t="s">
        <v>20</v>
      </c>
      <c r="N3" s="1" t="s">
        <v>21</v>
      </c>
      <c r="O3" s="1" t="s">
        <v>20</v>
      </c>
      <c r="P3" s="1" t="s">
        <v>21</v>
      </c>
      <c r="Q3" s="1" t="s">
        <v>20</v>
      </c>
      <c r="R3" s="1" t="s">
        <v>21</v>
      </c>
      <c r="T3" s="12" t="s">
        <v>11</v>
      </c>
      <c r="U3" s="12" t="s">
        <v>22</v>
      </c>
      <c r="V3" s="12" t="s">
        <v>23</v>
      </c>
      <c r="W3" s="12" t="s">
        <v>24</v>
      </c>
      <c r="X3" s="12" t="s">
        <v>25</v>
      </c>
      <c r="Y3" s="12" t="s">
        <v>26</v>
      </c>
      <c r="Z3" s="12" t="s">
        <v>27</v>
      </c>
      <c r="AA3" s="12" t="s">
        <v>28</v>
      </c>
    </row>
    <row r="4" spans="1:27" x14ac:dyDescent="0.35">
      <c r="B4" s="31">
        <v>2015</v>
      </c>
      <c r="C4" s="32">
        <f>E4/K4</f>
        <v>3783353837.7516232</v>
      </c>
      <c r="D4" s="32">
        <f>F4-E4</f>
        <v>-21992870.55814527</v>
      </c>
      <c r="E4" s="32">
        <f>'I. Data'!B3</f>
        <v>143767445.83456168</v>
      </c>
      <c r="F4" s="32">
        <f>'I. Data'!C3</f>
        <v>121774575.27641641</v>
      </c>
      <c r="G4" s="21">
        <f>F4/E4</f>
        <v>0.84702468329684832</v>
      </c>
      <c r="H4" s="15"/>
      <c r="I4" s="16"/>
      <c r="J4" s="17"/>
      <c r="K4" s="18">
        <v>3.7999999999999999E-2</v>
      </c>
      <c r="L4" s="19"/>
      <c r="M4" s="20"/>
      <c r="N4" s="20"/>
      <c r="O4" s="20"/>
      <c r="P4" s="20"/>
      <c r="Q4" s="20"/>
      <c r="R4" s="20"/>
      <c r="S4" s="27"/>
    </row>
    <row r="5" spans="1:27" x14ac:dyDescent="0.35">
      <c r="B5" s="31">
        <f>+B4+1</f>
        <v>2016</v>
      </c>
      <c r="C5" s="32">
        <f t="shared" ref="C5:C11" si="1">E5/K5</f>
        <v>4769579522.6111908</v>
      </c>
      <c r="D5" s="32">
        <f t="shared" ref="D5:D11" si="2">F5-E5</f>
        <v>-19353205.491902858</v>
      </c>
      <c r="E5" s="32">
        <f>'I. Data'!B4</f>
        <v>181244021.85922524</v>
      </c>
      <c r="F5" s="32">
        <f>'I. Data'!C4</f>
        <v>161890816.36732239</v>
      </c>
      <c r="G5" s="21">
        <f t="shared" ref="G5:G11" si="3">F5/E5</f>
        <v>0.89322017193518932</v>
      </c>
      <c r="H5" s="15"/>
      <c r="I5" s="16"/>
      <c r="J5" s="17"/>
      <c r="K5" s="18">
        <v>3.7999999999999999E-2</v>
      </c>
      <c r="L5" s="19"/>
      <c r="M5" s="20"/>
      <c r="N5" s="20"/>
      <c r="O5" s="20"/>
      <c r="P5" s="20"/>
      <c r="Q5" s="20"/>
      <c r="R5" s="20"/>
      <c r="S5" s="27"/>
    </row>
    <row r="6" spans="1:27" x14ac:dyDescent="0.35">
      <c r="B6" s="31">
        <f>+B5+1</f>
        <v>2017</v>
      </c>
      <c r="C6" s="32">
        <f t="shared" si="1"/>
        <v>4687862048.2561131</v>
      </c>
      <c r="D6" s="32">
        <f t="shared" si="2"/>
        <v>3039044.3062677085</v>
      </c>
      <c r="E6" s="32">
        <f>'I. Data'!B5</f>
        <v>178138757.83373231</v>
      </c>
      <c r="F6" s="32">
        <f>'I. Data'!C5</f>
        <v>181177802.14000002</v>
      </c>
      <c r="G6" s="21">
        <f t="shared" si="3"/>
        <v>1.017059983707219</v>
      </c>
      <c r="H6" s="15"/>
      <c r="I6" s="16"/>
      <c r="J6" s="17"/>
      <c r="K6" s="18">
        <v>3.7999999999999999E-2</v>
      </c>
      <c r="L6" s="19"/>
      <c r="M6" s="20"/>
      <c r="N6" s="20"/>
      <c r="O6" s="20"/>
      <c r="P6" s="20"/>
      <c r="Q6" s="20"/>
      <c r="R6" s="20"/>
      <c r="S6" s="27"/>
    </row>
    <row r="7" spans="1:27" x14ac:dyDescent="0.35">
      <c r="B7" s="31">
        <f t="shared" ref="B7:B9" si="4">+B6+1</f>
        <v>2018</v>
      </c>
      <c r="C7" s="32">
        <f t="shared" si="1"/>
        <v>4015897556.9020262</v>
      </c>
      <c r="D7" s="32">
        <f t="shared" si="2"/>
        <v>38984030.557723016</v>
      </c>
      <c r="E7" s="32">
        <f>'I. Data'!B6</f>
        <v>152604107.16227698</v>
      </c>
      <c r="F7" s="32">
        <f>'I. Data'!C6</f>
        <v>191588137.72</v>
      </c>
      <c r="G7" s="21">
        <f t="shared" si="3"/>
        <v>1.2554585933671363</v>
      </c>
      <c r="H7" s="15"/>
      <c r="I7" s="16"/>
      <c r="J7" s="17"/>
      <c r="K7" s="18">
        <v>3.7999999999999999E-2</v>
      </c>
      <c r="L7" s="19"/>
      <c r="M7" s="20"/>
      <c r="N7" s="20"/>
      <c r="O7" s="20"/>
      <c r="P7" s="20"/>
      <c r="Q7" s="20"/>
      <c r="R7" s="20"/>
      <c r="S7" s="27"/>
    </row>
    <row r="8" spans="1:27" x14ac:dyDescent="0.35">
      <c r="B8" s="31">
        <f t="shared" si="4"/>
        <v>2019</v>
      </c>
      <c r="C8" s="32">
        <f t="shared" si="1"/>
        <v>4482871803.2762156</v>
      </c>
      <c r="D8" s="32">
        <f t="shared" si="2"/>
        <v>19004203.825503826</v>
      </c>
      <c r="E8" s="32">
        <f>'I. Data'!B7</f>
        <v>170349128.5244962</v>
      </c>
      <c r="F8" s="32">
        <f>'I. Data'!C7</f>
        <v>189353332.35000002</v>
      </c>
      <c r="G8" s="21">
        <f t="shared" si="3"/>
        <v>1.1115603231440718</v>
      </c>
      <c r="H8" s="15">
        <f>AVERAGE(G4:G8)</f>
        <v>1.024864751090093</v>
      </c>
      <c r="I8" s="22">
        <f t="shared" ref="I8:I9" si="5">_xlfn.VAR.S(G4:G8)</f>
        <v>2.7426985409333415E-2</v>
      </c>
      <c r="J8" s="23">
        <f t="shared" ref="J8" si="6">SUM(F4:F8)/SUM(E4:E8)</f>
        <v>1.0238241377302997</v>
      </c>
      <c r="K8" s="18">
        <v>3.7999999999999999E-2</v>
      </c>
      <c r="L8" s="19">
        <f t="shared" ref="L8:L11" si="7">5-1</f>
        <v>4</v>
      </c>
      <c r="M8" s="20">
        <f>$K$2-_xlfn.T.INV(M$2,$L8)*SQRT($I8)/SQRT(5)</f>
        <v>0.90754673831925159</v>
      </c>
      <c r="N8" s="20">
        <f>$K$2+_xlfn.T.INV(N$2,$L8)*SQRT($I8)/SQRT(5)</f>
        <v>1.1459963097686885</v>
      </c>
      <c r="O8" s="20">
        <f>$K$2-_xlfn.T.INV(O$2,$L8)*SQRT($I8)/SQRT(5)</f>
        <v>0.85400369023131151</v>
      </c>
      <c r="P8" s="20">
        <f>$K$2+_xlfn.T.INV(P$2,$L8)*SQRT($I8)/SQRT(5)</f>
        <v>1.1727806289166745</v>
      </c>
      <c r="Q8" s="20">
        <f>$K$2-_xlfn.T.INV(Q$2,$L8)*SQRT($I8)/SQRT(5)</f>
        <v>0.75576611085470913</v>
      </c>
      <c r="R8" s="20">
        <f>$K$2+_xlfn.T.INV(R$2,$L8)*SQRT($I8)/SQRT(5)</f>
        <v>1.3409952266359983</v>
      </c>
      <c r="S8" s="27"/>
      <c r="T8" s="24">
        <f t="shared" ref="T8:T9" si="8">B8</f>
        <v>2019</v>
      </c>
      <c r="U8" s="23">
        <f t="shared" ref="U8:U9" si="9">J8</f>
        <v>1.0238241377302997</v>
      </c>
      <c r="V8" s="25">
        <f>Q8</f>
        <v>0.75576611085470913</v>
      </c>
      <c r="W8" s="25">
        <f>O8-Q8</f>
        <v>9.823757937660238E-2</v>
      </c>
      <c r="X8" s="25">
        <f>M8-O8</f>
        <v>5.3543048087940082E-2</v>
      </c>
      <c r="Y8" s="25">
        <f>N8-M8</f>
        <v>0.2384495714494369</v>
      </c>
      <c r="Z8" s="25">
        <f>P8-N8</f>
        <v>2.6784319147985958E-2</v>
      </c>
      <c r="AA8" s="25">
        <f>R8-P8</f>
        <v>0.1682145977193239</v>
      </c>
    </row>
    <row r="9" spans="1:27" x14ac:dyDescent="0.35">
      <c r="B9" s="31">
        <f t="shared" si="4"/>
        <v>2020</v>
      </c>
      <c r="C9" s="32">
        <f t="shared" si="1"/>
        <v>4900421059.101757</v>
      </c>
      <c r="D9" s="32">
        <f t="shared" si="2"/>
        <v>8824123.2841331959</v>
      </c>
      <c r="E9" s="32">
        <f>'I. Data'!B8</f>
        <v>186216000.24586678</v>
      </c>
      <c r="F9" s="32">
        <f>'I. Data'!C8</f>
        <v>195040123.52999997</v>
      </c>
      <c r="G9" s="21">
        <f t="shared" si="3"/>
        <v>1.04738649349402</v>
      </c>
      <c r="H9" s="15">
        <f>AVERAGE(G5:G9)</f>
        <v>1.0649371131295271</v>
      </c>
      <c r="I9" s="22">
        <f t="shared" si="5"/>
        <v>1.7639777452110428E-2</v>
      </c>
      <c r="J9" s="23">
        <f t="shared" ref="J9:J11" si="10">SUM(F5:F9)/SUM(E5:E9)</f>
        <v>1.0581406704184002</v>
      </c>
      <c r="K9" s="18">
        <v>3.7999999999999999E-2</v>
      </c>
      <c r="L9" s="19">
        <f t="shared" si="7"/>
        <v>4</v>
      </c>
      <c r="M9" s="20">
        <f>$K$2-_xlfn.T.INV(M$2,$L9)*SQRT($I9)/SQRT(5)</f>
        <v>0.92585536178005945</v>
      </c>
      <c r="N9" s="20">
        <f>$K$2+_xlfn.T.INV(N$2,$L9)*SQRT($I9)/SQRT(5)</f>
        <v>1.1170844962357867</v>
      </c>
      <c r="O9" s="20">
        <f>$K$2-_xlfn.T.INV(O$2,$L9)*SQRT($I9)/SQRT(5)</f>
        <v>0.88291550376421346</v>
      </c>
      <c r="P9" s="20">
        <f>$K$2+_xlfn.T.INV(P$2,$L9)*SQRT($I9)/SQRT(5)</f>
        <v>1.1385646865188772</v>
      </c>
      <c r="Q9" s="20">
        <f>$K$2-_xlfn.T.INV(Q$2,$L9)*SQRT($I9)/SQRT(5)</f>
        <v>0.80413202279160445</v>
      </c>
      <c r="R9" s="20">
        <f>$K$2+_xlfn.T.INV(R$2,$L9)*SQRT($I9)/SQRT(5)</f>
        <v>1.2734675581371881</v>
      </c>
      <c r="S9" s="27"/>
      <c r="T9" s="24">
        <f t="shared" si="8"/>
        <v>2020</v>
      </c>
      <c r="U9" s="23">
        <f t="shared" si="9"/>
        <v>1.0581406704184002</v>
      </c>
      <c r="V9" s="25">
        <f t="shared" ref="V9:V11" si="11">Q9</f>
        <v>0.80413202279160445</v>
      </c>
      <c r="W9" s="25">
        <f t="shared" ref="W9:W11" si="12">O9-Q9</f>
        <v>7.878348097260901E-2</v>
      </c>
      <c r="X9" s="25">
        <f t="shared" ref="X9:X11" si="13">M9-O9</f>
        <v>4.2939858015845989E-2</v>
      </c>
      <c r="Y9" s="25">
        <f t="shared" ref="Y9:Y11" si="14">N9-M9</f>
        <v>0.1912291344557272</v>
      </c>
      <c r="Z9" s="25">
        <f t="shared" ref="Z9:Z11" si="15">P9-N9</f>
        <v>2.1480190283090561E-2</v>
      </c>
      <c r="AA9" s="25">
        <f t="shared" ref="AA9:AA11" si="16">R9-P9</f>
        <v>0.13490287161831094</v>
      </c>
    </row>
    <row r="10" spans="1:27" x14ac:dyDescent="0.35">
      <c r="B10" s="31">
        <f>+B9+1</f>
        <v>2021</v>
      </c>
      <c r="C10" s="32">
        <f t="shared" si="1"/>
        <v>5039464839.8947477</v>
      </c>
      <c r="D10" s="32">
        <f t="shared" si="2"/>
        <v>54664292.72399956</v>
      </c>
      <c r="E10" s="32">
        <f>'I. Data'!B9</f>
        <v>191499663.91600043</v>
      </c>
      <c r="F10" s="32">
        <f>'I. Data'!C9</f>
        <v>246163956.63999999</v>
      </c>
      <c r="G10" s="21">
        <f t="shared" si="3"/>
        <v>1.2854537266863171</v>
      </c>
      <c r="H10" s="15">
        <f>AVERAGE(G6:G10)</f>
        <v>1.1433838240797527</v>
      </c>
      <c r="I10" s="22">
        <f t="shared" ref="I10:I11" si="17">_xlfn.VAR.S(G6:G10)</f>
        <v>1.4732636618828517E-2</v>
      </c>
      <c r="J10" s="23">
        <f t="shared" si="10"/>
        <v>1.1416870843228715</v>
      </c>
      <c r="K10" s="18">
        <v>3.7999999999999999E-2</v>
      </c>
      <c r="L10" s="19">
        <f t="shared" si="7"/>
        <v>4</v>
      </c>
      <c r="M10" s="20">
        <f>$K$2-_xlfn.T.INV(M$2,$L10)*SQRT($I10)/SQRT(5)</f>
        <v>0.93223999363048904</v>
      </c>
      <c r="N10" s="20">
        <f>$K$2+_xlfn.T.INV(N$2,$L10)*SQRT($I10)/SQRT(5)</f>
        <v>1.107002291752692</v>
      </c>
      <c r="O10" s="20">
        <f>$K$2-_xlfn.T.INV(O$2,$L10)*SQRT($I10)/SQRT(5)</f>
        <v>0.89299770824730795</v>
      </c>
      <c r="P10" s="20">
        <f>$K$2+_xlfn.T.INV(P$2,$L10)*SQRT($I10)/SQRT(5)</f>
        <v>1.1266328121159175</v>
      </c>
      <c r="Q10" s="20">
        <f>$K$2-_xlfn.T.INV(Q$2,$L10)*SQRT($I10)/SQRT(5)</f>
        <v>0.82099831219279307</v>
      </c>
      <c r="R10" s="20">
        <f>$K$2+_xlfn.T.INV(R$2,$L10)*SQRT($I10)/SQRT(5)</f>
        <v>1.2499191300423251</v>
      </c>
      <c r="S10" s="27"/>
      <c r="T10" s="24">
        <f t="shared" ref="T10:T12" si="18">B10</f>
        <v>2021</v>
      </c>
      <c r="U10" s="23">
        <f t="shared" ref="U10:U11" si="19">J10</f>
        <v>1.1416870843228715</v>
      </c>
      <c r="V10" s="25">
        <f t="shared" si="11"/>
        <v>0.82099831219279307</v>
      </c>
      <c r="W10" s="25">
        <f t="shared" si="12"/>
        <v>7.1999396054514886E-2</v>
      </c>
      <c r="X10" s="25">
        <f t="shared" si="13"/>
        <v>3.9242285383181086E-2</v>
      </c>
      <c r="Y10" s="25">
        <f t="shared" si="14"/>
        <v>0.17476229812220301</v>
      </c>
      <c r="Z10" s="25">
        <f t="shared" si="15"/>
        <v>1.9630520363225434E-2</v>
      </c>
      <c r="AA10" s="25">
        <f t="shared" si="16"/>
        <v>0.12328631792640765</v>
      </c>
    </row>
    <row r="11" spans="1:27" x14ac:dyDescent="0.35">
      <c r="B11" s="31">
        <f>+B10+1</f>
        <v>2022</v>
      </c>
      <c r="C11" s="32">
        <f t="shared" si="1"/>
        <v>4946530441.6460676</v>
      </c>
      <c r="D11" s="32">
        <f t="shared" si="2"/>
        <v>62580085.857449472</v>
      </c>
      <c r="E11" s="32">
        <f>'I. Data'!B10</f>
        <v>187968156.78255057</v>
      </c>
      <c r="F11" s="32">
        <f>'I. Data'!C10</f>
        <v>250548242.64000005</v>
      </c>
      <c r="G11" s="21">
        <f t="shared" si="3"/>
        <v>1.3329291882658867</v>
      </c>
      <c r="H11" s="15">
        <f>AVERAGE(G7:G11)</f>
        <v>1.2065576649914864</v>
      </c>
      <c r="I11" s="22">
        <f t="shared" si="17"/>
        <v>1.4736402008899415E-2</v>
      </c>
      <c r="J11" s="23">
        <f t="shared" si="10"/>
        <v>1.2071225084249415</v>
      </c>
      <c r="K11" s="18">
        <v>3.7999999999999999E-2</v>
      </c>
      <c r="L11" s="19">
        <f t="shared" si="7"/>
        <v>4</v>
      </c>
      <c r="M11" s="20">
        <f>$K$2-_xlfn.T.INV(M$2,$L11)*SQRT($I11)/SQRT(5)</f>
        <v>0.93223133508004008</v>
      </c>
      <c r="N11" s="20">
        <f>$K$2+_xlfn.T.INV(N$2,$L11)*SQRT($I11)/SQRT(5)</f>
        <v>1.1070159647847788</v>
      </c>
      <c r="O11" s="20">
        <f>$K$2-_xlfn.T.INV(O$2,$L11)*SQRT($I11)/SQRT(5)</f>
        <v>0.89298403521522118</v>
      </c>
      <c r="P11" s="20">
        <f>$K$2+_xlfn.T.INV(P$2,$L11)*SQRT($I11)/SQRT(5)</f>
        <v>1.1266489935871267</v>
      </c>
      <c r="Q11" s="20">
        <f>$K$2-_xlfn.T.INV(Q$2,$L11)*SQRT($I11)/SQRT(5)</f>
        <v>0.8209754388899797</v>
      </c>
      <c r="R11" s="20">
        <f>$K$2+_xlfn.T.INV(R$2,$L11)*SQRT($I11)/SQRT(5)</f>
        <v>1.2499510653609822</v>
      </c>
      <c r="S11" s="27"/>
      <c r="T11" s="24">
        <f t="shared" si="18"/>
        <v>2022</v>
      </c>
      <c r="U11" s="23">
        <f t="shared" si="19"/>
        <v>1.2071225084249415</v>
      </c>
      <c r="V11" s="25">
        <f t="shared" si="11"/>
        <v>0.8209754388899797</v>
      </c>
      <c r="W11" s="25">
        <f t="shared" si="12"/>
        <v>7.2008596325241481E-2</v>
      </c>
      <c r="X11" s="25">
        <f t="shared" si="13"/>
        <v>3.9247299864818896E-2</v>
      </c>
      <c r="Y11" s="25">
        <f t="shared" si="14"/>
        <v>0.17478462970473874</v>
      </c>
      <c r="Z11" s="25">
        <f t="shared" si="15"/>
        <v>1.9633028802347852E-2</v>
      </c>
      <c r="AA11" s="25">
        <f t="shared" si="16"/>
        <v>0.12330207177385555</v>
      </c>
    </row>
    <row r="12" spans="1:27" x14ac:dyDescent="0.35">
      <c r="C12" s="30">
        <f>SUM(C4:C11)</f>
        <v>36625981109.439743</v>
      </c>
      <c r="F12" s="30">
        <f>SUM(F4:F11)</f>
        <v>1537536986.663739</v>
      </c>
      <c r="K12" s="29">
        <f>F12/C12</f>
        <v>4.1979407515924924E-2</v>
      </c>
      <c r="T12" s="24">
        <f t="shared" si="18"/>
        <v>0</v>
      </c>
    </row>
    <row r="28" spans="1:1" x14ac:dyDescent="0.35">
      <c r="A28" s="28" t="s">
        <v>34</v>
      </c>
    </row>
    <row r="29" spans="1:1" x14ac:dyDescent="0.35">
      <c r="A29" t="s">
        <v>36</v>
      </c>
    </row>
    <row r="30" spans="1:1" x14ac:dyDescent="0.35">
      <c r="A30" t="s">
        <v>41</v>
      </c>
    </row>
    <row r="31" spans="1:1" x14ac:dyDescent="0.35">
      <c r="A31" t="s">
        <v>33</v>
      </c>
    </row>
    <row r="32" spans="1:1" x14ac:dyDescent="0.35">
      <c r="A32" t="s">
        <v>42</v>
      </c>
    </row>
    <row r="33" spans="1:1" x14ac:dyDescent="0.35">
      <c r="A33" t="s">
        <v>43</v>
      </c>
    </row>
  </sheetData>
  <pageMargins left="0.7" right="0.7" top="0.75" bottom="0.75" header="0.3" footer="0.3"/>
  <pageSetup paperSize="9" orientation="portrait" r:id="rId1"/>
  <customProperties>
    <customPr name="EpmWorksheetKeyString_GU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E2ACC-6338-4916-9D0B-9EEC65A067D4}">
  <sheetPr>
    <tabColor theme="0" tint="-0.249977111117893"/>
  </sheetPr>
  <dimension ref="A1:AA34"/>
  <sheetViews>
    <sheetView tabSelected="1" topLeftCell="A16" workbookViewId="0">
      <selection activeCell="A33" sqref="A33"/>
    </sheetView>
  </sheetViews>
  <sheetFormatPr defaultColWidth="9.08984375" defaultRowHeight="14.5" x14ac:dyDescent="0.35"/>
  <cols>
    <col min="1" max="1" width="7.36328125" customWidth="1"/>
    <col min="3" max="3" width="15.36328125" bestFit="1" customWidth="1"/>
    <col min="4" max="4" width="16.6328125" bestFit="1" customWidth="1"/>
    <col min="5" max="5" width="15.36328125" customWidth="1"/>
    <col min="6" max="6" width="14.36328125" customWidth="1"/>
    <col min="7" max="10" width="9.54296875" customWidth="1"/>
    <col min="11" max="11" width="16.54296875" customWidth="1"/>
    <col min="12" max="18" width="9.54296875" customWidth="1"/>
  </cols>
  <sheetData>
    <row r="1" spans="1:27" x14ac:dyDescent="0.35">
      <c r="A1" s="1"/>
      <c r="B1" s="1" t="s">
        <v>0</v>
      </c>
      <c r="C1" s="1"/>
      <c r="D1" s="2" t="s">
        <v>1</v>
      </c>
      <c r="E1" s="1"/>
      <c r="F1" s="1" t="s">
        <v>2</v>
      </c>
      <c r="G1" s="3" t="s">
        <v>3</v>
      </c>
      <c r="H1" s="3" t="s">
        <v>4</v>
      </c>
      <c r="I1" s="3" t="s">
        <v>5</v>
      </c>
      <c r="J1" s="3" t="s">
        <v>6</v>
      </c>
      <c r="M1" s="4" t="s">
        <v>7</v>
      </c>
      <c r="N1" s="4" t="s">
        <v>7</v>
      </c>
      <c r="O1" s="5" t="s">
        <v>8</v>
      </c>
      <c r="P1" s="5" t="s">
        <v>8</v>
      </c>
      <c r="Q1" t="s">
        <v>9</v>
      </c>
      <c r="R1" t="s">
        <v>9</v>
      </c>
    </row>
    <row r="2" spans="1:27" x14ac:dyDescent="0.35">
      <c r="F2" s="6">
        <f>SUM(F5:F11)/SUM(E5:E11)</f>
        <v>1.0263682184650835</v>
      </c>
      <c r="G2" s="7">
        <f>SUM(F7:F11)/SUM(E7:E11)</f>
        <v>1.0921584600035183</v>
      </c>
      <c r="H2" s="7">
        <f>SUM(F10:F11)/SUM(E10:E11)</f>
        <v>1.1843066816884473</v>
      </c>
      <c r="I2" s="7">
        <f>F11/E11</f>
        <v>1.2059835512881831</v>
      </c>
      <c r="J2" s="7">
        <f>SQRT(I11)</f>
        <v>0.10983228943804903</v>
      </c>
      <c r="K2" s="8">
        <v>1</v>
      </c>
      <c r="M2" s="9">
        <v>0.86</v>
      </c>
      <c r="N2" s="9">
        <v>0.94</v>
      </c>
      <c r="O2" s="9">
        <v>0.94</v>
      </c>
      <c r="P2" s="9">
        <v>0.96</v>
      </c>
      <c r="Q2" s="9">
        <v>0.98499999999999999</v>
      </c>
      <c r="R2" s="9">
        <v>0.995</v>
      </c>
      <c r="S2" s="10" t="s">
        <v>10</v>
      </c>
      <c r="V2" s="11" t="str">
        <f>M1</f>
        <v>1/10</v>
      </c>
      <c r="W2" s="11" t="str">
        <f t="shared" ref="W2:AA2" si="0">N1</f>
        <v>1/10</v>
      </c>
      <c r="X2" s="11" t="str">
        <f t="shared" si="0"/>
        <v>1/20</v>
      </c>
      <c r="Y2" s="11" t="str">
        <f t="shared" si="0"/>
        <v>1/20</v>
      </c>
      <c r="Z2" s="11" t="str">
        <f t="shared" si="0"/>
        <v>1/100</v>
      </c>
      <c r="AA2" s="11" t="str">
        <f t="shared" si="0"/>
        <v>1/100</v>
      </c>
    </row>
    <row r="3" spans="1:27" ht="43.5" x14ac:dyDescent="0.35">
      <c r="B3" s="1" t="s">
        <v>11</v>
      </c>
      <c r="C3" s="1" t="s">
        <v>35</v>
      </c>
      <c r="D3" s="1" t="s">
        <v>12</v>
      </c>
      <c r="E3" s="1" t="s">
        <v>13</v>
      </c>
      <c r="F3" s="1" t="s">
        <v>14</v>
      </c>
      <c r="G3" s="1" t="s">
        <v>15</v>
      </c>
      <c r="H3" s="1" t="s">
        <v>16</v>
      </c>
      <c r="I3" s="1" t="s">
        <v>17</v>
      </c>
      <c r="J3" s="1" t="s">
        <v>18</v>
      </c>
      <c r="K3" s="1" t="s">
        <v>29</v>
      </c>
      <c r="L3" s="1" t="s">
        <v>19</v>
      </c>
      <c r="M3" s="1" t="s">
        <v>20</v>
      </c>
      <c r="N3" s="1" t="s">
        <v>21</v>
      </c>
      <c r="O3" s="1" t="s">
        <v>20</v>
      </c>
      <c r="P3" s="1" t="s">
        <v>21</v>
      </c>
      <c r="Q3" s="1" t="s">
        <v>20</v>
      </c>
      <c r="R3" s="1" t="s">
        <v>21</v>
      </c>
      <c r="T3" s="12" t="s">
        <v>11</v>
      </c>
      <c r="U3" s="12" t="s">
        <v>22</v>
      </c>
      <c r="V3" s="12" t="s">
        <v>23</v>
      </c>
      <c r="W3" s="12" t="s">
        <v>24</v>
      </c>
      <c r="X3" s="12" t="s">
        <v>25</v>
      </c>
      <c r="Y3" s="12" t="s">
        <v>26</v>
      </c>
      <c r="Z3" s="12" t="s">
        <v>27</v>
      </c>
      <c r="AA3" s="12" t="s">
        <v>28</v>
      </c>
    </row>
    <row r="4" spans="1:27" x14ac:dyDescent="0.35">
      <c r="A4" s="26"/>
      <c r="B4" s="31">
        <v>2015</v>
      </c>
      <c r="C4" s="32">
        <f>'O. Analysis (lapse 3.8%)'!C4</f>
        <v>3783353837.7516232</v>
      </c>
      <c r="D4" s="32">
        <f>F4-E4</f>
        <v>-37126285.909151778</v>
      </c>
      <c r="E4" s="32">
        <f>'O. Analysis (lapse 3.8%)'!E4/'O. Analysis (lapse 3.8%)'!K4*K4</f>
        <v>158900861.18556818</v>
      </c>
      <c r="F4" s="32">
        <f>'I. Data'!C3</f>
        <v>121774575.27641641</v>
      </c>
      <c r="G4" s="21">
        <f>F4/E4</f>
        <v>0.76635566584000558</v>
      </c>
      <c r="H4" s="15"/>
      <c r="I4" s="16"/>
      <c r="J4" s="17"/>
      <c r="K4" s="18">
        <v>4.2000000000000003E-2</v>
      </c>
      <c r="L4" s="19"/>
      <c r="M4" s="20"/>
      <c r="N4" s="20"/>
      <c r="O4" s="20"/>
      <c r="P4" s="20"/>
      <c r="Q4" s="20"/>
      <c r="R4" s="20"/>
    </row>
    <row r="5" spans="1:27" x14ac:dyDescent="0.35">
      <c r="A5" s="26"/>
      <c r="B5" s="31">
        <f>+B4+1</f>
        <v>2016</v>
      </c>
      <c r="C5" s="32">
        <f>'O. Analysis (lapse 3.8%)'!C5</f>
        <v>4769579522.6111908</v>
      </c>
      <c r="D5" s="32">
        <f t="shared" ref="D5:D11" si="1">F5-E5</f>
        <v>-38431523.582347631</v>
      </c>
      <c r="E5" s="32">
        <f>'O. Analysis (lapse 3.8%)'!E5/'O. Analysis (lapse 3.8%)'!K5*K5</f>
        <v>200322339.94967002</v>
      </c>
      <c r="F5" s="32">
        <f>'I. Data'!C4</f>
        <v>161890816.36732239</v>
      </c>
      <c r="G5" s="21">
        <f t="shared" ref="G5:G11" si="2">F5/E5</f>
        <v>0.80815158413183796</v>
      </c>
      <c r="H5" s="15"/>
      <c r="I5" s="16"/>
      <c r="J5" s="17"/>
      <c r="K5" s="18">
        <v>4.2000000000000003E-2</v>
      </c>
      <c r="L5" s="19"/>
      <c r="M5" s="20"/>
      <c r="N5" s="20"/>
      <c r="O5" s="20"/>
      <c r="P5" s="20"/>
      <c r="Q5" s="20"/>
      <c r="R5" s="20"/>
    </row>
    <row r="6" spans="1:27" x14ac:dyDescent="0.35">
      <c r="A6" s="26"/>
      <c r="B6" s="31">
        <f>+B5+1</f>
        <v>2017</v>
      </c>
      <c r="C6" s="32">
        <f>'O. Analysis (lapse 3.8%)'!C6</f>
        <v>4687862048.2561131</v>
      </c>
      <c r="D6" s="32">
        <f t="shared" si="1"/>
        <v>-15712403.886756748</v>
      </c>
      <c r="E6" s="32">
        <f>'O. Analysis (lapse 3.8%)'!E6/'O. Analysis (lapse 3.8%)'!K6*K6</f>
        <v>196890206.02675676</v>
      </c>
      <c r="F6" s="32">
        <f>'I. Data'!C5</f>
        <v>181177802.14000002</v>
      </c>
      <c r="G6" s="21">
        <f t="shared" si="2"/>
        <v>0.92019712811605525</v>
      </c>
      <c r="H6" s="15"/>
      <c r="I6" s="16"/>
      <c r="J6" s="17"/>
      <c r="K6" s="18">
        <v>4.2000000000000003E-2</v>
      </c>
      <c r="L6" s="19"/>
      <c r="M6" s="20"/>
      <c r="N6" s="20"/>
      <c r="O6" s="20"/>
      <c r="P6" s="20"/>
      <c r="Q6" s="20"/>
      <c r="R6" s="20"/>
    </row>
    <row r="7" spans="1:27" x14ac:dyDescent="0.35">
      <c r="A7" s="26"/>
      <c r="B7" s="31">
        <f t="shared" ref="B7:B9" si="3">+B6+1</f>
        <v>2018</v>
      </c>
      <c r="C7" s="32">
        <f>'O. Analysis (lapse 3.8%)'!C7</f>
        <v>4015897556.9020262</v>
      </c>
      <c r="D7" s="32">
        <f t="shared" si="1"/>
        <v>22920440.330114901</v>
      </c>
      <c r="E7" s="32">
        <f>'O. Analysis (lapse 3.8%)'!E7/'O. Analysis (lapse 3.8%)'!K7*K7</f>
        <v>168667697.3898851</v>
      </c>
      <c r="F7" s="32">
        <f>'I. Data'!C6</f>
        <v>191588137.72</v>
      </c>
      <c r="G7" s="21">
        <f t="shared" si="2"/>
        <v>1.1358911082845518</v>
      </c>
      <c r="H7" s="15"/>
      <c r="I7" s="16"/>
      <c r="J7" s="17"/>
      <c r="K7" s="18">
        <v>4.2000000000000003E-2</v>
      </c>
      <c r="L7" s="19"/>
      <c r="M7" s="20"/>
      <c r="N7" s="20"/>
      <c r="O7" s="20"/>
      <c r="P7" s="20"/>
      <c r="Q7" s="20"/>
      <c r="R7" s="20"/>
    </row>
    <row r="8" spans="1:27" x14ac:dyDescent="0.35">
      <c r="A8" s="26"/>
      <c r="B8" s="31">
        <f t="shared" si="3"/>
        <v>2019</v>
      </c>
      <c r="C8" s="32">
        <f>'O. Analysis (lapse 3.8%)'!C8</f>
        <v>4482871803.2762156</v>
      </c>
      <c r="D8" s="32">
        <f t="shared" si="1"/>
        <v>1072716.6123989522</v>
      </c>
      <c r="E8" s="32">
        <f>'O. Analysis (lapse 3.8%)'!E8/'O. Analysis (lapse 3.8%)'!K8*K8</f>
        <v>188280615.73760107</v>
      </c>
      <c r="F8" s="32">
        <f>'I. Data'!C7</f>
        <v>189353332.35000002</v>
      </c>
      <c r="G8" s="21">
        <f t="shared" si="2"/>
        <v>1.0056974352255887</v>
      </c>
      <c r="H8" s="15">
        <f>AVERAGE(G4:G8)</f>
        <v>0.92725858431960773</v>
      </c>
      <c r="I8" s="22">
        <f t="shared" ref="I8:I11" si="4">_xlfn.VAR.S(G4:G8)</f>
        <v>2.2451568555033052E-2</v>
      </c>
      <c r="J8" s="23">
        <f t="shared" ref="J8" si="5">SUM(F4:F8)/SUM(E4:E8)</f>
        <v>0.92631707699408061</v>
      </c>
      <c r="K8" s="18">
        <v>4.2000000000000003E-2</v>
      </c>
      <c r="L8" s="19">
        <f t="shared" ref="L8:L11" si="6">5-1</f>
        <v>4</v>
      </c>
      <c r="M8" s="20">
        <f>$K$2-_xlfn.T.INV(M$2,$L8)*SQRT($I8)/SQRT(5)</f>
        <v>0.91635181086027429</v>
      </c>
      <c r="N8" s="20">
        <f>$K$2+_xlfn.T.INV(N$2,$L8)*SQRT($I8)/SQRT(5)</f>
        <v>1.132091899314529</v>
      </c>
      <c r="O8" s="20">
        <f>$K$2-_xlfn.T.INV(O$2,$L8)*SQRT($I8)/SQRT(5)</f>
        <v>0.86790810068547097</v>
      </c>
      <c r="P8" s="20">
        <f>$K$2+_xlfn.T.INV(P$2,$L8)*SQRT($I8)/SQRT(5)</f>
        <v>1.156325330924612</v>
      </c>
      <c r="Q8" s="20">
        <f>$K$2-_xlfn.T.INV(Q$2,$L8)*SQRT($I8)/SQRT(5)</f>
        <v>0.77902648124949636</v>
      </c>
      <c r="R8" s="20">
        <f>$K$2+_xlfn.T.INV(R$2,$L8)*SQRT($I8)/SQRT(5)</f>
        <v>1.3085194907659066</v>
      </c>
      <c r="T8" s="24">
        <f t="shared" ref="T8:T11" si="7">B8</f>
        <v>2019</v>
      </c>
      <c r="U8" s="23">
        <f t="shared" ref="U8:U11" si="8">J8</f>
        <v>0.92631707699408061</v>
      </c>
      <c r="V8" s="25">
        <f>Q8</f>
        <v>0.77902648124949636</v>
      </c>
      <c r="W8" s="25">
        <f>O8-Q8</f>
        <v>8.8881619435974613E-2</v>
      </c>
      <c r="X8" s="25">
        <f>M8-O8</f>
        <v>4.8443710174803312E-2</v>
      </c>
      <c r="Y8" s="25">
        <f>N8-M8</f>
        <v>0.21574008845425474</v>
      </c>
      <c r="Z8" s="25">
        <f>P8-N8</f>
        <v>2.4233431610082956E-2</v>
      </c>
      <c r="AA8" s="25">
        <f>R8-P8</f>
        <v>0.15219415984129459</v>
      </c>
    </row>
    <row r="9" spans="1:27" x14ac:dyDescent="0.35">
      <c r="A9" s="26"/>
      <c r="B9" s="31">
        <f t="shared" si="3"/>
        <v>2020</v>
      </c>
      <c r="C9" s="32">
        <f>'O. Analysis (lapse 3.8%)'!C9</f>
        <v>4900421059.101757</v>
      </c>
      <c r="D9" s="32">
        <f t="shared" si="1"/>
        <v>-10777560.952273846</v>
      </c>
      <c r="E9" s="32">
        <f>'O. Analysis (lapse 3.8%)'!E9/'O. Analysis (lapse 3.8%)'!K9*K9</f>
        <v>205817684.48227382</v>
      </c>
      <c r="F9" s="32">
        <f>'I. Data'!C8</f>
        <v>195040123.52999997</v>
      </c>
      <c r="G9" s="21">
        <f t="shared" si="2"/>
        <v>0.94763539887554182</v>
      </c>
      <c r="H9" s="15">
        <f>AVERAGE(G5:G9)</f>
        <v>0.96351453092671502</v>
      </c>
      <c r="I9" s="22">
        <f t="shared" si="4"/>
        <v>1.4439817823609813E-2</v>
      </c>
      <c r="J9" s="23">
        <f t="shared" ref="J9:J11" si="9">SUM(F5:F9)/SUM(E5:E9)</f>
        <v>0.9573653684737905</v>
      </c>
      <c r="K9" s="18">
        <v>4.2000000000000003E-2</v>
      </c>
      <c r="L9" s="19">
        <f t="shared" si="6"/>
        <v>4</v>
      </c>
      <c r="M9" s="20">
        <f>$K$2-_xlfn.T.INV(M$2,$L9)*SQRT($I9)/SQRT(5)</f>
        <v>0.9329167558962439</v>
      </c>
      <c r="N9" s="20">
        <f>$K$2+_xlfn.T.INV(N$2,$L9)*SQRT($I9)/SQRT(5)</f>
        <v>1.1059335918323789</v>
      </c>
      <c r="O9" s="20">
        <f>$K$2-_xlfn.T.INV(O$2,$L9)*SQRT($I9)/SQRT(5)</f>
        <v>0.89406640816762117</v>
      </c>
      <c r="P9" s="20">
        <f>$K$2+_xlfn.T.INV(P$2,$L9)*SQRT($I9)/SQRT(5)</f>
        <v>1.1253680497075562</v>
      </c>
      <c r="Q9" s="20">
        <f>$K$2-_xlfn.T.INV(Q$2,$L9)*SQRT($I9)/SQRT(5)</f>
        <v>0.82278611585906991</v>
      </c>
      <c r="R9" s="20">
        <f>$K$2+_xlfn.T.INV(R$2,$L9)*SQRT($I9)/SQRT(5)</f>
        <v>1.2474230287907904</v>
      </c>
      <c r="T9" s="24">
        <f t="shared" si="7"/>
        <v>2020</v>
      </c>
      <c r="U9" s="23">
        <f t="shared" si="8"/>
        <v>0.9573653684737905</v>
      </c>
      <c r="V9" s="25">
        <f t="shared" ref="V9:V11" si="10">Q9</f>
        <v>0.82278611585906991</v>
      </c>
      <c r="W9" s="25">
        <f t="shared" ref="W9:W11" si="11">O9-Q9</f>
        <v>7.1280292308551263E-2</v>
      </c>
      <c r="X9" s="25">
        <f t="shared" ref="X9:X11" si="12">M9-O9</f>
        <v>3.8850347728622725E-2</v>
      </c>
      <c r="Y9" s="25">
        <f t="shared" ref="Y9:Y11" si="13">N9-M9</f>
        <v>0.17301683593613504</v>
      </c>
      <c r="Z9" s="25">
        <f t="shared" ref="Z9:Z11" si="14">P9-N9</f>
        <v>1.943445787517728E-2</v>
      </c>
      <c r="AA9" s="25">
        <f t="shared" ref="AA9:AA11" si="15">R9-P9</f>
        <v>0.12205497908323415</v>
      </c>
    </row>
    <row r="10" spans="1:27" x14ac:dyDescent="0.35">
      <c r="A10" s="26"/>
      <c r="B10" s="31">
        <f>+B9+1</f>
        <v>2021</v>
      </c>
      <c r="C10" s="32">
        <f>'O. Analysis (lapse 3.8%)'!C10</f>
        <v>5039464839.8947477</v>
      </c>
      <c r="D10" s="32">
        <f t="shared" si="1"/>
        <v>34506433.364420563</v>
      </c>
      <c r="E10" s="32">
        <f>'O. Analysis (lapse 3.8%)'!E10/'O. Analysis (lapse 3.8%)'!K10*K10</f>
        <v>211657523.27557942</v>
      </c>
      <c r="F10" s="32">
        <f>'I. Data'!C9</f>
        <v>246163956.63999999</v>
      </c>
      <c r="G10" s="21">
        <f t="shared" si="2"/>
        <v>1.1630295622400011</v>
      </c>
      <c r="H10" s="15">
        <f>AVERAGE(G6:G10)</f>
        <v>1.0344901265483477</v>
      </c>
      <c r="I10" s="22">
        <f t="shared" si="4"/>
        <v>1.206004947709091E-2</v>
      </c>
      <c r="J10" s="23">
        <f t="shared" si="9"/>
        <v>1.0329549810540264</v>
      </c>
      <c r="K10" s="18">
        <v>4.2000000000000003E-2</v>
      </c>
      <c r="L10" s="19">
        <f t="shared" si="6"/>
        <v>4</v>
      </c>
      <c r="M10" s="20">
        <f>$K$2-_xlfn.T.INV(M$2,$L10)*SQRT($I10)/SQRT(5)</f>
        <v>0.93869332757044244</v>
      </c>
      <c r="N10" s="20">
        <f>$K$2+_xlfn.T.INV(N$2,$L10)*SQRT($I10)/SQRT(5)</f>
        <v>1.0968115973000547</v>
      </c>
      <c r="O10" s="20">
        <f>$K$2-_xlfn.T.INV(O$2,$L10)*SQRT($I10)/SQRT(5)</f>
        <v>0.90318840269994527</v>
      </c>
      <c r="P10" s="20">
        <f>$K$2+_xlfn.T.INV(P$2,$L10)*SQRT($I10)/SQRT(5)</f>
        <v>1.114572544295354</v>
      </c>
      <c r="Q10" s="20">
        <f>$K$2-_xlfn.T.INV(Q$2,$L10)*SQRT($I10)/SQRT(5)</f>
        <v>0.83804609198395563</v>
      </c>
      <c r="R10" s="20">
        <f>$K$2+_xlfn.T.INV(R$2,$L10)*SQRT($I10)/SQRT(5)</f>
        <v>1.2261173081335321</v>
      </c>
      <c r="T10" s="24">
        <f t="shared" si="7"/>
        <v>2021</v>
      </c>
      <c r="U10" s="23">
        <f t="shared" si="8"/>
        <v>1.0329549810540264</v>
      </c>
      <c r="V10" s="25">
        <f t="shared" si="10"/>
        <v>0.83804609198395563</v>
      </c>
      <c r="W10" s="25">
        <f t="shared" si="11"/>
        <v>6.5142310715989638E-2</v>
      </c>
      <c r="X10" s="25">
        <f t="shared" si="12"/>
        <v>3.5504924870497168E-2</v>
      </c>
      <c r="Y10" s="25">
        <f t="shared" si="13"/>
        <v>0.15811826972961229</v>
      </c>
      <c r="Z10" s="25">
        <f t="shared" si="14"/>
        <v>1.7760946995299287E-2</v>
      </c>
      <c r="AA10" s="25">
        <f t="shared" si="15"/>
        <v>0.11154476383817813</v>
      </c>
    </row>
    <row r="11" spans="1:27" x14ac:dyDescent="0.35">
      <c r="A11" s="26"/>
      <c r="B11" s="31">
        <f>+B10+1</f>
        <v>2022</v>
      </c>
      <c r="C11" s="32">
        <f>'O. Analysis (lapse 3.8%)'!C11</f>
        <v>4946530441.6460676</v>
      </c>
      <c r="D11" s="32">
        <f t="shared" si="1"/>
        <v>42793964.090865195</v>
      </c>
      <c r="E11" s="32">
        <f>'O. Analysis (lapse 3.8%)'!E11/'O. Analysis (lapse 3.8%)'!K11*K11</f>
        <v>207754278.54913485</v>
      </c>
      <c r="F11" s="32">
        <f>'I. Data'!C10</f>
        <v>250548242.64000005</v>
      </c>
      <c r="G11" s="21">
        <f t="shared" si="2"/>
        <v>1.2059835512881831</v>
      </c>
      <c r="H11" s="15">
        <f>AVERAGE(G7:G11)</f>
        <v>1.0916474111827732</v>
      </c>
      <c r="I11" s="22">
        <f t="shared" si="4"/>
        <v>1.2063131803203377E-2</v>
      </c>
      <c r="J11" s="23">
        <f t="shared" si="9"/>
        <v>1.0921584600035183</v>
      </c>
      <c r="K11" s="18">
        <v>4.2000000000000003E-2</v>
      </c>
      <c r="L11" s="19">
        <f t="shared" si="6"/>
        <v>4</v>
      </c>
      <c r="M11" s="20">
        <f>$K$2-_xlfn.T.INV(M$2,$L11)*SQRT($I11)/SQRT(5)</f>
        <v>0.93868549364384579</v>
      </c>
      <c r="N11" s="20">
        <f>$K$2+_xlfn.T.INV(N$2,$L11)*SQRT($I11)/SQRT(5)</f>
        <v>1.0968239681386094</v>
      </c>
      <c r="O11" s="20">
        <f>$K$2-_xlfn.T.INV(O$2,$L11)*SQRT($I11)/SQRT(5)</f>
        <v>0.90317603186139062</v>
      </c>
      <c r="P11" s="20">
        <f>$K$2+_xlfn.T.INV(P$2,$L11)*SQRT($I11)/SQRT(5)</f>
        <v>1.1145871846740669</v>
      </c>
      <c r="Q11" s="20">
        <f>$K$2-_xlfn.T.INV(Q$2,$L11)*SQRT($I11)/SQRT(5)</f>
        <v>0.83802539709093404</v>
      </c>
      <c r="R11" s="20">
        <f>$K$2+_xlfn.T.INV(R$2,$L11)*SQRT($I11)/SQRT(5)</f>
        <v>1.2261462019932696</v>
      </c>
      <c r="T11" s="24">
        <f t="shared" si="7"/>
        <v>2022</v>
      </c>
      <c r="U11" s="23">
        <f t="shared" si="8"/>
        <v>1.0921584600035183</v>
      </c>
      <c r="V11" s="25">
        <f t="shared" si="10"/>
        <v>0.83802539709093404</v>
      </c>
      <c r="W11" s="25">
        <f t="shared" si="11"/>
        <v>6.5150634770456572E-2</v>
      </c>
      <c r="X11" s="25">
        <f t="shared" si="12"/>
        <v>3.5509461782455176E-2</v>
      </c>
      <c r="Y11" s="25">
        <f t="shared" si="13"/>
        <v>0.15813847449476359</v>
      </c>
      <c r="Z11" s="25">
        <f t="shared" si="14"/>
        <v>1.7763216535457538E-2</v>
      </c>
      <c r="AA11" s="25">
        <f t="shared" si="15"/>
        <v>0.1115590173192027</v>
      </c>
    </row>
    <row r="12" spans="1:27" x14ac:dyDescent="0.35">
      <c r="C12" s="30">
        <f>SUM(C4:C11)</f>
        <v>36625981109.439743</v>
      </c>
      <c r="F12" s="30">
        <f>SUM(F4:F11)</f>
        <v>1537536986.663739</v>
      </c>
      <c r="K12" s="29">
        <f>F12/C12</f>
        <v>4.1979407515924924E-2</v>
      </c>
    </row>
    <row r="28" spans="1:1" x14ac:dyDescent="0.35">
      <c r="A28" s="28" t="s">
        <v>34</v>
      </c>
    </row>
    <row r="29" spans="1:1" x14ac:dyDescent="0.35">
      <c r="A29" s="33" t="s">
        <v>37</v>
      </c>
    </row>
    <row r="30" spans="1:1" x14ac:dyDescent="0.35">
      <c r="A30" s="33" t="s">
        <v>44</v>
      </c>
    </row>
    <row r="31" spans="1:1" x14ac:dyDescent="0.35">
      <c r="A31" s="33" t="s">
        <v>38</v>
      </c>
    </row>
    <row r="32" spans="1:1" x14ac:dyDescent="0.35">
      <c r="A32" s="33" t="s">
        <v>39</v>
      </c>
    </row>
    <row r="33" spans="1:1" x14ac:dyDescent="0.35">
      <c r="A33" s="33" t="s">
        <v>45</v>
      </c>
    </row>
    <row r="34" spans="1:1" x14ac:dyDescent="0.35">
      <c r="A34" s="33" t="s">
        <v>40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 Data</vt:lpstr>
      <vt:lpstr>O. Analysis (lapse 3.8%)</vt:lpstr>
      <vt:lpstr>O. Analysis (lapse 4.2%)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Ramsey Hammad</cp:lastModifiedBy>
  <dcterms:created xsi:type="dcterms:W3CDTF">2023-08-07T19:09:07Z</dcterms:created>
  <dcterms:modified xsi:type="dcterms:W3CDTF">2024-12-30T21:19:08Z</dcterms:modified>
</cp:coreProperties>
</file>