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msey\Documents\"/>
    </mc:Choice>
  </mc:AlternateContent>
  <xr:revisionPtr revIDLastSave="0" documentId="8_{E67343DD-6783-4860-86FC-C35FB24168F3}" xr6:coauthVersionLast="47" xr6:coauthVersionMax="47" xr10:uidLastSave="{00000000-0000-0000-0000-000000000000}"/>
  <bookViews>
    <workbookView xWindow="-110" yWindow="-110" windowWidth="19420" windowHeight="10420" activeTab="1" xr2:uid="{E122D769-05BB-4503-AB7A-776887C1BB38}"/>
  </bookViews>
  <sheets>
    <sheet name="Cover Page" sheetId="1" r:id="rId1"/>
    <sheet name="Free Cash Flow" sheetId="10" r:id="rId2"/>
    <sheet name="Fixed Assets" sheetId="3" r:id="rId3"/>
    <sheet name="Net Working Capital" sheetId="4" r:id="rId4"/>
    <sheet name="DCF" sheetId="5" r:id="rId5"/>
    <sheet name="WACC" sheetId="6" r:id="rId6"/>
    <sheet name="Income Statement" sheetId="7" r:id="rId7"/>
    <sheet name="Balance Sheet" sheetId="8" r:id="rId8"/>
    <sheet name="Cash Flow Statement" sheetId="9" r:id="rId9"/>
  </sheets>
  <externalReferences>
    <externalReference r:id="rId10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F17" i="5"/>
  <c r="F13" i="5"/>
  <c r="F14" i="5"/>
  <c r="G12" i="5"/>
  <c r="H12" i="5"/>
  <c r="J12" i="5"/>
  <c r="K12" i="5" s="1"/>
  <c r="F16" i="5"/>
  <c r="C18" i="5"/>
  <c r="C17" i="5"/>
  <c r="C16" i="5"/>
  <c r="C16" i="6"/>
  <c r="C15" i="6"/>
  <c r="C8" i="6"/>
  <c r="C6" i="6"/>
  <c r="C9" i="6" s="1"/>
  <c r="D29" i="4"/>
  <c r="D28" i="4"/>
  <c r="E28" i="4"/>
  <c r="E27" i="4"/>
  <c r="F26" i="4"/>
  <c r="C25" i="4"/>
  <c r="H19" i="4"/>
  <c r="I19" i="4"/>
  <c r="J19" i="4"/>
  <c r="K19" i="4"/>
  <c r="G19" i="4"/>
  <c r="H18" i="4"/>
  <c r="I18" i="4"/>
  <c r="J18" i="4"/>
  <c r="K18" i="4"/>
  <c r="G18" i="4"/>
  <c r="E22" i="4"/>
  <c r="E21" i="4"/>
  <c r="C21" i="4"/>
  <c r="F16" i="10"/>
  <c r="J6" i="10"/>
  <c r="I6" i="10"/>
  <c r="H6" i="10"/>
  <c r="G6" i="10"/>
  <c r="F6" i="10"/>
  <c r="J24" i="10"/>
  <c r="I24" i="10"/>
  <c r="H24" i="10"/>
  <c r="G24" i="10"/>
  <c r="F24" i="10"/>
  <c r="E24" i="10"/>
  <c r="D24" i="10"/>
  <c r="C24" i="10"/>
  <c r="B24" i="10"/>
  <c r="E20" i="10"/>
  <c r="D20" i="10"/>
  <c r="C20" i="10"/>
  <c r="C18" i="10" s="1"/>
  <c r="C17" i="10" s="1"/>
  <c r="E19" i="10"/>
  <c r="D19" i="10"/>
  <c r="C19" i="10"/>
  <c r="E18" i="10"/>
  <c r="E16" i="10"/>
  <c r="D16" i="10"/>
  <c r="C16" i="10"/>
  <c r="E13" i="10"/>
  <c r="D13" i="10"/>
  <c r="C13" i="10"/>
  <c r="E11" i="10"/>
  <c r="E15" i="10" s="1"/>
  <c r="D11" i="10"/>
  <c r="D15" i="10" s="1"/>
  <c r="C11" i="10"/>
  <c r="C15" i="10" s="1"/>
  <c r="E8" i="10"/>
  <c r="E28" i="10" s="1"/>
  <c r="D8" i="10"/>
  <c r="C8" i="10"/>
  <c r="C9" i="10" s="1"/>
  <c r="E5" i="10"/>
  <c r="E27" i="10" s="1"/>
  <c r="D5" i="10"/>
  <c r="D27" i="10" s="1"/>
  <c r="C5" i="10"/>
  <c r="C27" i="10" s="1"/>
  <c r="F27" i="10" s="1"/>
  <c r="G27" i="10" s="1"/>
  <c r="H27" i="10" s="1"/>
  <c r="I27" i="10" s="1"/>
  <c r="J27" i="10" s="1"/>
  <c r="E4" i="10"/>
  <c r="D4" i="10"/>
  <c r="C4" i="10"/>
  <c r="C13" i="6"/>
  <c r="C4" i="6"/>
  <c r="F19" i="4"/>
  <c r="E19" i="4"/>
  <c r="D19" i="4"/>
  <c r="D23" i="4" s="1"/>
  <c r="F18" i="4"/>
  <c r="E18" i="4"/>
  <c r="E25" i="4" s="1"/>
  <c r="D18" i="4"/>
  <c r="F13" i="4"/>
  <c r="F29" i="4" s="1"/>
  <c r="E13" i="4"/>
  <c r="E29" i="4" s="1"/>
  <c r="G29" i="4" s="1"/>
  <c r="D13" i="4"/>
  <c r="C13" i="4"/>
  <c r="C29" i="4" s="1"/>
  <c r="F12" i="4"/>
  <c r="F28" i="4" s="1"/>
  <c r="E12" i="4"/>
  <c r="D12" i="4"/>
  <c r="C12" i="4"/>
  <c r="C28" i="4" s="1"/>
  <c r="F11" i="4"/>
  <c r="F27" i="4" s="1"/>
  <c r="E11" i="4"/>
  <c r="D11" i="4"/>
  <c r="C11" i="4"/>
  <c r="C27" i="4" s="1"/>
  <c r="F10" i="4"/>
  <c r="E10" i="4"/>
  <c r="D10" i="4"/>
  <c r="C10" i="4"/>
  <c r="C26" i="4" s="1"/>
  <c r="F9" i="4"/>
  <c r="E9" i="4"/>
  <c r="E14" i="4" s="1"/>
  <c r="D9" i="4"/>
  <c r="D14" i="4" s="1"/>
  <c r="C9" i="4"/>
  <c r="F6" i="4"/>
  <c r="F25" i="4" s="1"/>
  <c r="E6" i="4"/>
  <c r="D6" i="4"/>
  <c r="C6" i="4"/>
  <c r="F5" i="4"/>
  <c r="F22" i="4" s="1"/>
  <c r="E5" i="4"/>
  <c r="D5" i="4"/>
  <c r="C5" i="4"/>
  <c r="C22" i="4" s="1"/>
  <c r="F4" i="4"/>
  <c r="F7" i="4" s="1"/>
  <c r="E4" i="4"/>
  <c r="E7" i="4" s="1"/>
  <c r="D4" i="4"/>
  <c r="D7" i="4" s="1"/>
  <c r="C4" i="4"/>
  <c r="C7" i="4" s="1"/>
  <c r="C5" i="3"/>
  <c r="D5" i="3"/>
  <c r="E5" i="3"/>
  <c r="C7" i="3"/>
  <c r="D7" i="3"/>
  <c r="E7" i="3"/>
  <c r="F4" i="3" s="1"/>
  <c r="F6" i="3" s="1"/>
  <c r="E11" i="3"/>
  <c r="G12" i="3"/>
  <c r="H12" i="3" s="1"/>
  <c r="I12" i="3" s="1"/>
  <c r="J12" i="3" s="1"/>
  <c r="E6" i="3"/>
  <c r="E12" i="3" s="1"/>
  <c r="D4" i="3"/>
  <c r="D11" i="3" s="1"/>
  <c r="C4" i="3"/>
  <c r="H29" i="4" l="1"/>
  <c r="G13" i="4"/>
  <c r="G27" i="4"/>
  <c r="E17" i="10"/>
  <c r="F14" i="4"/>
  <c r="F23" i="4"/>
  <c r="D28" i="10"/>
  <c r="D9" i="10"/>
  <c r="D22" i="4"/>
  <c r="G22" i="4" s="1"/>
  <c r="C6" i="3"/>
  <c r="C12" i="3" s="1"/>
  <c r="C14" i="4"/>
  <c r="C23" i="4"/>
  <c r="G23" i="4" s="1"/>
  <c r="G28" i="4"/>
  <c r="F21" i="4"/>
  <c r="C18" i="6"/>
  <c r="C12" i="5" s="1"/>
  <c r="D25" i="4"/>
  <c r="G25" i="4" s="1"/>
  <c r="D26" i="4"/>
  <c r="D27" i="4"/>
  <c r="C11" i="3"/>
  <c r="D25" i="10"/>
  <c r="D18" i="10"/>
  <c r="D21" i="4"/>
  <c r="G21" i="4" s="1"/>
  <c r="E26" i="4"/>
  <c r="G26" i="4" s="1"/>
  <c r="E6" i="10"/>
  <c r="E23" i="4"/>
  <c r="D6" i="3"/>
  <c r="D12" i="3" s="1"/>
  <c r="F11" i="3"/>
  <c r="D17" i="10"/>
  <c r="E25" i="10"/>
  <c r="C6" i="10"/>
  <c r="C10" i="10" s="1"/>
  <c r="C12" i="10" s="1"/>
  <c r="C14" i="10" s="1"/>
  <c r="C21" i="10" s="1"/>
  <c r="D4" i="5" s="1"/>
  <c r="E9" i="10"/>
  <c r="C28" i="10"/>
  <c r="F28" i="10" s="1"/>
  <c r="D6" i="10"/>
  <c r="G6" i="4" l="1"/>
  <c r="H25" i="4"/>
  <c r="G10" i="4"/>
  <c r="H26" i="4"/>
  <c r="G4" i="4"/>
  <c r="H21" i="4"/>
  <c r="H22" i="4"/>
  <c r="G5" i="4"/>
  <c r="G28" i="10"/>
  <c r="F8" i="10"/>
  <c r="F9" i="10" s="1"/>
  <c r="F10" i="10" s="1"/>
  <c r="G9" i="4"/>
  <c r="G14" i="4" s="1"/>
  <c r="F20" i="10" s="1"/>
  <c r="H23" i="4"/>
  <c r="G11" i="4"/>
  <c r="H27" i="4"/>
  <c r="E10" i="10"/>
  <c r="E12" i="10" s="1"/>
  <c r="D10" i="10"/>
  <c r="D12" i="10" s="1"/>
  <c r="D14" i="10" s="1"/>
  <c r="D21" i="10" s="1"/>
  <c r="E4" i="5" s="1"/>
  <c r="H28" i="4"/>
  <c r="G12" i="4"/>
  <c r="H13" i="4"/>
  <c r="I29" i="4"/>
  <c r="G11" i="3"/>
  <c r="F5" i="3"/>
  <c r="E14" i="10"/>
  <c r="E21" i="10" s="1"/>
  <c r="F4" i="5" s="1"/>
  <c r="E29" i="10"/>
  <c r="C29" i="10"/>
  <c r="H5" i="4" l="1"/>
  <c r="I22" i="4"/>
  <c r="D29" i="10"/>
  <c r="H11" i="4"/>
  <c r="I27" i="4"/>
  <c r="I21" i="4"/>
  <c r="H4" i="4"/>
  <c r="H6" i="4"/>
  <c r="I25" i="4"/>
  <c r="J29" i="4"/>
  <c r="I13" i="4"/>
  <c r="H9" i="4"/>
  <c r="H14" i="4" s="1"/>
  <c r="G20" i="10" s="1"/>
  <c r="I23" i="4"/>
  <c r="H10" i="4"/>
  <c r="I26" i="4"/>
  <c r="I28" i="4"/>
  <c r="H12" i="4"/>
  <c r="H28" i="10"/>
  <c r="G8" i="10"/>
  <c r="G9" i="10" s="1"/>
  <c r="G10" i="10" s="1"/>
  <c r="G7" i="4"/>
  <c r="F19" i="10" s="1"/>
  <c r="F18" i="10" s="1"/>
  <c r="F17" i="10" s="1"/>
  <c r="F7" i="3"/>
  <c r="G4" i="3" s="1"/>
  <c r="F15" i="10"/>
  <c r="F11" i="10"/>
  <c r="F12" i="10" s="1"/>
  <c r="H11" i="3"/>
  <c r="G5" i="3"/>
  <c r="J28" i="4" l="1"/>
  <c r="I12" i="4"/>
  <c r="H7" i="4"/>
  <c r="G19" i="10" s="1"/>
  <c r="G18" i="10" s="1"/>
  <c r="G17" i="10" s="1"/>
  <c r="I28" i="10"/>
  <c r="H8" i="10"/>
  <c r="H9" i="10" s="1"/>
  <c r="H10" i="10" s="1"/>
  <c r="K29" i="4"/>
  <c r="K13" i="4" s="1"/>
  <c r="J13" i="4"/>
  <c r="J21" i="4"/>
  <c r="I4" i="4"/>
  <c r="J22" i="4"/>
  <c r="I5" i="4"/>
  <c r="J26" i="4"/>
  <c r="I10" i="4"/>
  <c r="J23" i="4"/>
  <c r="I9" i="4"/>
  <c r="J25" i="4"/>
  <c r="I6" i="4"/>
  <c r="J27" i="4"/>
  <c r="I11" i="4"/>
  <c r="F13" i="10"/>
  <c r="F14" i="10" s="1"/>
  <c r="F21" i="10" s="1"/>
  <c r="G4" i="5" s="1"/>
  <c r="G7" i="5" s="1"/>
  <c r="I11" i="3"/>
  <c r="G15" i="10"/>
  <c r="G11" i="10"/>
  <c r="G12" i="10" s="1"/>
  <c r="G6" i="3"/>
  <c r="G16" i="10" s="1"/>
  <c r="K21" i="4" l="1"/>
  <c r="K4" i="4" s="1"/>
  <c r="J4" i="4"/>
  <c r="J28" i="10"/>
  <c r="J8" i="10" s="1"/>
  <c r="J9" i="10" s="1"/>
  <c r="J10" i="10" s="1"/>
  <c r="I8" i="10"/>
  <c r="I9" i="10" s="1"/>
  <c r="I10" i="10" s="1"/>
  <c r="I14" i="4"/>
  <c r="H20" i="10" s="1"/>
  <c r="K27" i="4"/>
  <c r="K11" i="4" s="1"/>
  <c r="J11" i="4"/>
  <c r="K23" i="4"/>
  <c r="K9" i="4" s="1"/>
  <c r="K14" i="4" s="1"/>
  <c r="J20" i="10" s="1"/>
  <c r="J9" i="4"/>
  <c r="K22" i="4"/>
  <c r="K5" i="4" s="1"/>
  <c r="J5" i="4"/>
  <c r="K25" i="4"/>
  <c r="K6" i="4" s="1"/>
  <c r="K7" i="4" s="1"/>
  <c r="J19" i="10" s="1"/>
  <c r="J18" i="10" s="1"/>
  <c r="J6" i="4"/>
  <c r="K26" i="4"/>
  <c r="K10" i="4" s="1"/>
  <c r="J10" i="4"/>
  <c r="I7" i="4"/>
  <c r="H19" i="10" s="1"/>
  <c r="H18" i="10" s="1"/>
  <c r="H17" i="10" s="1"/>
  <c r="K28" i="4"/>
  <c r="K12" i="4" s="1"/>
  <c r="J12" i="4"/>
  <c r="G7" i="3"/>
  <c r="H4" i="3" s="1"/>
  <c r="J11" i="3"/>
  <c r="G13" i="10"/>
  <c r="G14" i="10" s="1"/>
  <c r="G21" i="10" s="1"/>
  <c r="H4" i="5" s="1"/>
  <c r="H7" i="5" s="1"/>
  <c r="J7" i="4" l="1"/>
  <c r="I19" i="10" s="1"/>
  <c r="J14" i="4"/>
  <c r="I20" i="10" s="1"/>
  <c r="H6" i="3"/>
  <c r="H16" i="10" s="1"/>
  <c r="H5" i="3"/>
  <c r="I18" i="10" l="1"/>
  <c r="H7" i="3"/>
  <c r="I4" i="3" s="1"/>
  <c r="H11" i="10"/>
  <c r="H12" i="10" s="1"/>
  <c r="H15" i="10"/>
  <c r="I17" i="10" l="1"/>
  <c r="J17" i="10"/>
  <c r="H13" i="10"/>
  <c r="H14" i="10" s="1"/>
  <c r="H21" i="10" s="1"/>
  <c r="I4" i="5" s="1"/>
  <c r="I7" i="5" s="1"/>
  <c r="I6" i="3"/>
  <c r="I16" i="10" s="1"/>
  <c r="I5" i="3"/>
  <c r="I7" i="3" l="1"/>
  <c r="J4" i="3" s="1"/>
  <c r="I11" i="10"/>
  <c r="I12" i="10" s="1"/>
  <c r="I15" i="10"/>
  <c r="I13" i="10" l="1"/>
  <c r="I14" i="10" s="1"/>
  <c r="I21" i="10" s="1"/>
  <c r="J4" i="5" s="1"/>
  <c r="J7" i="5" s="1"/>
  <c r="J6" i="3"/>
  <c r="J16" i="10" s="1"/>
  <c r="J5" i="3"/>
  <c r="J7" i="3" l="1"/>
  <c r="J11" i="10"/>
  <c r="J12" i="10" s="1"/>
  <c r="J15" i="10"/>
  <c r="J14" i="10" l="1"/>
  <c r="J21" i="10" s="1"/>
  <c r="K4" i="5" s="1"/>
  <c r="J13" i="10"/>
  <c r="C13" i="5" l="1"/>
  <c r="C14" i="5" s="1"/>
  <c r="K7" i="5"/>
  <c r="C10" i="5" s="1"/>
  <c r="C15" i="5" l="1"/>
  <c r="C19" i="5" s="1"/>
  <c r="C21" i="5" s="1"/>
  <c r="F12" i="5" s="1"/>
</calcChain>
</file>

<file path=xl/sharedStrings.xml><?xml version="1.0" encoding="utf-8"?>
<sst xmlns="http://schemas.openxmlformats.org/spreadsheetml/2006/main" count="201" uniqueCount="177">
  <si>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</si>
  <si>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</si>
  <si>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</si>
  <si>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</si>
  <si>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</si>
  <si>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</si>
  <si>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</si>
  <si>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</si>
  <si>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</si>
  <si>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</si>
  <si>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</si>
  <si>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</si>
  <si>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</si>
  <si>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</si>
  <si>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</si>
  <si>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</si>
  <si>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</si>
  <si>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</si>
  <si>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</si>
  <si>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</si>
  <si>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</si>
  <si>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</si>
  <si>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</si>
  <si>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</si>
  <si>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</si>
  <si>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</si>
  <si>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</si>
  <si>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</si>
  <si>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</si>
  <si>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</si>
  <si>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</si>
  <si>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</si>
  <si>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</si>
  <si>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</si>
  <si>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</si>
  <si>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</si>
  <si>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</si>
  <si>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</si>
  <si>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</si>
  <si>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</si>
  <si>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</si>
  <si>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</si>
  <si>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</si>
  <si>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</si>
  <si>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</si>
  <si>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</si>
  <si>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</si>
  <si>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</si>
  <si>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</si>
  <si>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</si>
  <si>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</si>
  <si>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</si>
  <si>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</si>
  <si>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</si>
  <si>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</si>
  <si>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</si>
  <si>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</si>
  <si>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</si>
  <si>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</si>
  <si>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</si>
  <si>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</si>
  <si>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</si>
  <si>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</si>
  <si>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</si>
  <si>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</si>
  <si>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</si>
  <si>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</si>
  <si>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</si>
  <si>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</si>
  <si>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</si>
  <si>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</si>
  <si>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</si>
  <si>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</si>
  <si>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</si>
  <si>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</si>
  <si>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</si>
  <si>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</si>
  <si>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</si>
  <si>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</si>
  <si>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</si>
  <si>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</si>
  <si>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</si>
  <si>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</si>
  <si>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</si>
  <si>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</si>
  <si>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</si>
  <si>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</si>
  <si>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</si>
  <si>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</si>
  <si>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</si>
  <si>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</si>
  <si>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</si>
  <si>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</si>
  <si>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</si>
  <si>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</si>
  <si>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</si>
  <si>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</si>
  <si>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</si>
  <si>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</si>
  <si>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</si>
  <si>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</si>
  <si>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</si>
  <si>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</si>
  <si>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</si>
  <si>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</si>
  <si>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</si>
  <si>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</si>
  <si>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</si>
  <si>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</si>
  <si>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</si>
  <si>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</si>
  <si>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</si>
  <si>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</si>
  <si>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</si>
  <si>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</si>
  <si>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</si>
  <si>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</si>
  <si>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</si>
  <si>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</si>
  <si>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</si>
  <si>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</si>
  <si>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</si>
  <si>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</si>
  <si>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</si>
  <si>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</si>
  <si>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</si>
  <si>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</si>
  <si>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</si>
  <si>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</si>
  <si>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</si>
  <si>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</si>
  <si>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</si>
  <si>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</si>
  <si>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</si>
  <si>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</si>
  <si>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</si>
  <si>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</si>
  <si>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</si>
  <si>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</si>
  <si>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</si>
  <si>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</si>
  <si>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</si>
  <si>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</si>
  <si>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</si>
  <si>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</si>
  <si>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</si>
  <si>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</si>
  <si>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</si>
  <si>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</si>
  <si>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</si>
  <si>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</si>
  <si>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</si>
  <si>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</si>
  <si>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</si>
  <si>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</si>
  <si>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</si>
  <si>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</si>
  <si>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</si>
  <si>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</si>
  <si>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</si>
  <si>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</si>
  <si>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</si>
  <si>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</si>
  <si>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</si>
  <si>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</si>
  <si>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</si>
  <si>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</si>
  <si>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</si>
  <si>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</si>
  <si>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</si>
  <si>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</si>
  <si>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</si>
  <si>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</si>
  <si>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</si>
  <si>
    <t>Discounted Cash Flow Model</t>
  </si>
  <si>
    <t>All Current Rates and Market Metrics located on Bloomberg</t>
  </si>
  <si>
    <t>Sensitivity table to see how chaining the WACC and the growth rate affects valuation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</si>
</sst>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rgb="FF1313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  <fill>
      <patternFill patternType="solid">
        <fgColor rgb="FFD9E2F3"/>
        <bgColor rgb="FFD9E2F3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164" fontId="3" fillId="3" borderId="1" xfId="0" applyNumberFormat="1" applyFont="1" applyFill="1" applyBorder="1"/>
    <xf numFmtId="165" fontId="3" fillId="3" borderId="1" xfId="0" applyNumberFormat="1" applyFont="1" applyFill="1" applyBorder="1"/>
    <xf numFmtId="0" fontId="1" fillId="0" borderId="0" xfId="0" applyFont="1"/>
    <xf numFmtId="166" fontId="3" fillId="0" borderId="0" xfId="0" applyNumberFormat="1" applyFont="1"/>
    <xf numFmtId="0" fontId="3" fillId="0" borderId="1" xfId="0" applyFont="1" applyBorder="1"/>
    <xf numFmtId="166" fontId="3" fillId="0" borderId="1" xfId="0" applyNumberFormat="1" applyFont="1" applyBorder="1"/>
    <xf numFmtId="0" fontId="4" fillId="0" borderId="0" xfId="0" applyFont="1"/>
    <xf numFmtId="166" fontId="4" fillId="0" borderId="0" xfId="0" applyNumberFormat="1" applyFont="1"/>
    <xf numFmtId="0" fontId="3" fillId="0" borderId="0" xfId="0" applyFont="1" applyAlignment="1">
      <alignment horizontal="left"/>
    </xf>
    <xf numFmtId="0" fontId="4" fillId="4" borderId="2" xfId="0" applyFont="1" applyFill="1" applyBorder="1"/>
    <xf numFmtId="166" fontId="4" fillId="4" borderId="2" xfId="0" applyNumberFormat="1" applyFont="1" applyFill="1" applyBorder="1"/>
    <xf numFmtId="0" fontId="3" fillId="5" borderId="0" xfId="0" applyFont="1" applyFill="1"/>
    <xf numFmtId="167" fontId="3" fillId="5" borderId="0" xfId="0" applyNumberFormat="1" applyFont="1" applyFill="1"/>
    <xf numFmtId="0" fontId="3" fillId="0" borderId="0" xfId="0" applyFont="1"/>
    <xf numFmtId="0" fontId="5" fillId="2" borderId="0" xfId="0" applyFont="1" applyFill="1"/>
    <xf numFmtId="0" fontId="6" fillId="3" borderId="1" xfId="0" applyFont="1" applyFill="1" applyBorder="1"/>
    <xf numFmtId="164" fontId="6" fillId="3" borderId="1" xfId="0" applyNumberFormat="1" applyFont="1" applyFill="1" applyBorder="1"/>
    <xf numFmtId="165" fontId="6" fillId="3" borderId="1" xfId="0" applyNumberFormat="1" applyFont="1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7" fillId="4" borderId="2" xfId="0" applyFont="1" applyFill="1" applyBorder="1"/>
    <xf numFmtId="0" fontId="6" fillId="5" borderId="0" xfId="0" applyFont="1" applyFill="1"/>
    <xf numFmtId="167" fontId="6" fillId="5" borderId="0" xfId="0" applyNumberFormat="1" applyFont="1" applyFill="1"/>
    <xf numFmtId="3" fontId="3" fillId="0" borderId="0" xfId="0" applyNumberFormat="1" applyFont="1"/>
    <xf numFmtId="0" fontId="4" fillId="0" borderId="2" xfId="0" applyFont="1" applyBorder="1"/>
    <xf numFmtId="3" fontId="6" fillId="0" borderId="0" xfId="0" applyNumberFormat="1" applyFont="1"/>
    <xf numFmtId="0" fontId="7" fillId="0" borderId="2" xfId="0" applyFont="1" applyBorder="1"/>
    <xf numFmtId="3" fontId="7" fillId="0" borderId="2" xfId="0" applyNumberFormat="1" applyFont="1" applyBorder="1"/>
    <xf numFmtId="3" fontId="6" fillId="5" borderId="0" xfId="0" applyNumberFormat="1" applyFont="1" applyFill="1"/>
    <xf numFmtId="168" fontId="6" fillId="5" borderId="0" xfId="0" applyNumberFormat="1" applyFont="1" applyFill="1"/>
    <xf numFmtId="9" fontId="9" fillId="0" borderId="0" xfId="0" applyNumberFormat="1" applyFont="1"/>
    <xf numFmtId="167" fontId="3" fillId="0" borderId="0" xfId="0" applyNumberFormat="1" applyFont="1"/>
    <xf numFmtId="2" fontId="9" fillId="0" borderId="0" xfId="0" applyNumberFormat="1" applyFont="1"/>
    <xf numFmtId="167" fontId="6" fillId="0" borderId="0" xfId="0" applyNumberFormat="1" applyFont="1"/>
    <xf numFmtId="4" fontId="6" fillId="0" borderId="0" xfId="0" applyNumberFormat="1" applyFont="1"/>
    <xf numFmtId="10" fontId="6" fillId="3" borderId="0" xfId="0" applyNumberFormat="1" applyFont="1" applyFill="1"/>
    <xf numFmtId="4" fontId="6" fillId="3" borderId="0" xfId="0" applyNumberFormat="1" applyFont="1" applyFill="1"/>
    <xf numFmtId="4" fontId="5" fillId="2" borderId="0" xfId="0" applyNumberFormat="1" applyFont="1" applyFill="1"/>
    <xf numFmtId="0" fontId="6" fillId="0" borderId="2" xfId="0" applyFont="1" applyBorder="1"/>
    <xf numFmtId="3" fontId="6" fillId="0" borderId="2" xfId="0" applyNumberFormat="1" applyFont="1" applyBorder="1"/>
    <xf numFmtId="4" fontId="7" fillId="4" borderId="2" xfId="0" applyNumberFormat="1" applyFont="1" applyFill="1" applyBorder="1"/>
    <xf numFmtId="3" fontId="9" fillId="0" borderId="0" xfId="0" applyNumberFormat="1" applyFont="1"/>
    <xf numFmtId="167" fontId="9" fillId="0" borderId="0" xfId="0" applyNumberFormat="1" applyFont="1"/>
    <xf numFmtId="167" fontId="4" fillId="0" borderId="2" xfId="0" applyNumberFormat="1" applyFont="1" applyBorder="1"/>
    <xf numFmtId="167" fontId="4" fillId="0" borderId="0" xfId="0" applyNumberFormat="1" applyFont="1"/>
    <xf numFmtId="0" fontId="9" fillId="0" borderId="0" xfId="0" applyFont="1"/>
    <xf numFmtId="167" fontId="4" fillId="4" borderId="2" xfId="0" applyNumberFormat="1" applyFont="1" applyFill="1" applyBorder="1"/>
    <xf numFmtId="0" fontId="3" fillId="0" borderId="0" xfId="0" applyFont="1" applyAlignment="1">
      <alignment horizontal="center"/>
    </xf>
    <xf numFmtId="169" fontId="3" fillId="0" borderId="0" xfId="0" applyNumberFormat="1" applyFont="1"/>
    <xf numFmtId="3" fontId="0" fillId="0" borderId="0" xfId="0" applyNumberFormat="1"/>
    <xf numFmtId="0" fontId="5" fillId="2" borderId="0" xfId="0" applyFont="1" applyFill="1" applyAlignment="1">
      <alignment horizontal="center"/>
    </xf>
    <xf numFmtId="0" fontId="8" fillId="0" borderId="0" xfId="0" applyFont="1"/>
    <xf numFmtId="0" fontId="5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msey\Downloads\DCF-Start.xlsx" TargetMode="External"/><Relationship Id="rId1" Type="http://schemas.openxmlformats.org/officeDocument/2006/relationships/externalLinkPath" Target="/Users/Ramsey/Downloads/DCF-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Page"/>
      <sheetName val="Free Cash Flow"/>
      <sheetName val="Fixed Assets"/>
      <sheetName val="Net Working Capital"/>
      <sheetName val="DCF"/>
      <sheetName val="WACC"/>
      <sheetName val="Data Source --&gt;"/>
      <sheetName val="Income Statement"/>
      <sheetName val="Balance Sheet"/>
      <sheetName val="Cash Flow Statement"/>
    </sheetNames>
    <sheetDataSet>
      <sheetData sheetId="0"/>
      <sheetData sheetId="1">
        <row r="4">
          <cell r="C4">
            <v>152703</v>
          </cell>
          <cell r="D4">
            <v>166761</v>
          </cell>
          <cell r="E4">
            <v>195929</v>
          </cell>
        </row>
        <row r="5">
          <cell r="C5">
            <v>132886</v>
          </cell>
          <cell r="D5">
            <v>144939</v>
          </cell>
          <cell r="E5">
            <v>170684</v>
          </cell>
        </row>
        <row r="11">
          <cell r="C11">
            <v>1492</v>
          </cell>
          <cell r="D11">
            <v>1645</v>
          </cell>
          <cell r="E11">
            <v>1781</v>
          </cell>
        </row>
      </sheetData>
      <sheetData sheetId="2">
        <row r="6">
          <cell r="C6">
            <v>2701</v>
          </cell>
          <cell r="D6">
            <v>5350</v>
          </cell>
          <cell r="E6">
            <v>3568</v>
          </cell>
        </row>
      </sheetData>
      <sheetData sheetId="3">
        <row r="7">
          <cell r="C7">
            <v>13030</v>
          </cell>
          <cell r="D7">
            <v>14041</v>
          </cell>
          <cell r="E7">
            <v>14815</v>
          </cell>
          <cell r="F7">
            <v>17330</v>
          </cell>
        </row>
        <row r="14">
          <cell r="C14">
            <v>19836</v>
          </cell>
          <cell r="D14">
            <v>21538</v>
          </cell>
          <cell r="E14">
            <v>24749</v>
          </cell>
          <cell r="F14">
            <v>28642</v>
          </cell>
        </row>
      </sheetData>
      <sheetData sheetId="4"/>
      <sheetData sheetId="5"/>
      <sheetData sheetId="6"/>
      <sheetData sheetId="7">
        <row r="5">
          <cell r="C5">
            <v>152703</v>
          </cell>
          <cell r="D5">
            <v>166761</v>
          </cell>
          <cell r="E5">
            <v>195929</v>
          </cell>
        </row>
        <row r="7">
          <cell r="C7">
            <v>132886</v>
          </cell>
          <cell r="D7">
            <v>144939</v>
          </cell>
          <cell r="E7">
            <v>170684</v>
          </cell>
        </row>
        <row r="8">
          <cell r="C8">
            <v>13502</v>
          </cell>
          <cell r="D8">
            <v>14687</v>
          </cell>
          <cell r="E8">
            <v>16680</v>
          </cell>
        </row>
        <row r="9">
          <cell r="C9">
            <v>1492</v>
          </cell>
          <cell r="D9">
            <v>1645</v>
          </cell>
          <cell r="E9">
            <v>1781</v>
          </cell>
        </row>
        <row r="10">
          <cell r="C10">
            <v>86</v>
          </cell>
          <cell r="D10">
            <v>55</v>
          </cell>
          <cell r="E10">
            <v>76</v>
          </cell>
        </row>
        <row r="16">
          <cell r="C16">
            <v>1061</v>
          </cell>
          <cell r="D16">
            <v>1308</v>
          </cell>
          <cell r="E16">
            <v>1601</v>
          </cell>
        </row>
      </sheetData>
      <sheetData sheetId="8">
        <row r="6">
          <cell r="C6">
            <v>1669</v>
          </cell>
          <cell r="D6">
            <v>1535</v>
          </cell>
          <cell r="E6">
            <v>1550</v>
          </cell>
          <cell r="F6">
            <v>1803</v>
          </cell>
        </row>
        <row r="7">
          <cell r="C7">
            <v>11040</v>
          </cell>
          <cell r="D7">
            <v>11395</v>
          </cell>
          <cell r="E7">
            <v>12242</v>
          </cell>
          <cell r="F7">
            <v>14215</v>
          </cell>
        </row>
        <row r="8">
          <cell r="C8">
            <v>321</v>
          </cell>
          <cell r="D8">
            <v>1111</v>
          </cell>
          <cell r="E8">
            <v>1023</v>
          </cell>
          <cell r="F8">
            <v>1312</v>
          </cell>
        </row>
        <row r="11">
          <cell r="C11">
            <v>19681</v>
          </cell>
          <cell r="D11">
            <v>20890</v>
          </cell>
          <cell r="E11">
            <v>21807</v>
          </cell>
          <cell r="F11">
            <v>23492</v>
          </cell>
        </row>
        <row r="12">
          <cell r="D12">
            <v>0</v>
          </cell>
          <cell r="E12">
            <v>2788</v>
          </cell>
          <cell r="F12">
            <v>2890</v>
          </cell>
        </row>
        <row r="16">
          <cell r="C16">
            <v>11237</v>
          </cell>
          <cell r="D16">
            <v>11679</v>
          </cell>
          <cell r="E16">
            <v>14172</v>
          </cell>
          <cell r="F16">
            <v>16278</v>
          </cell>
        </row>
        <row r="17">
          <cell r="C17">
            <v>2994</v>
          </cell>
          <cell r="D17">
            <v>3176</v>
          </cell>
          <cell r="E17">
            <v>3605</v>
          </cell>
          <cell r="F17">
            <v>4090</v>
          </cell>
        </row>
        <row r="18">
          <cell r="C18">
            <v>1057</v>
          </cell>
          <cell r="D18">
            <v>1180</v>
          </cell>
          <cell r="E18">
            <v>1393</v>
          </cell>
          <cell r="F18">
            <v>1671</v>
          </cell>
        </row>
        <row r="19">
          <cell r="C19">
            <v>1624</v>
          </cell>
          <cell r="D19">
            <v>1711</v>
          </cell>
          <cell r="E19">
            <v>1851</v>
          </cell>
          <cell r="F19">
            <v>2042</v>
          </cell>
        </row>
        <row r="20">
          <cell r="F20">
            <v>799</v>
          </cell>
        </row>
        <row r="21">
          <cell r="C21">
            <v>2924</v>
          </cell>
          <cell r="D21">
            <v>3792</v>
          </cell>
          <cell r="E21">
            <v>3728</v>
          </cell>
          <cell r="F21">
            <v>4561</v>
          </cell>
        </row>
        <row r="24">
          <cell r="F24">
            <v>6692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E820-BAB7-4E4C-807B-E0381CCFABF1}">
  <sheetPr codeName="Sheet1"/>
  <dimension ref="A1:E6"/>
  <sheetViews>
    <sheetView showGridLines="0" workbookViewId="0">
      <selection activeCell="A9" sqref="A9"/>
    </sheetView>
  </sheetViews>
  <sheetFormatPr defaultRowHeight="14.5" x14ac:dyDescent="0.35"/>
  <sheetData>
    <row r="1" spans="1:5" ht="23.5" x14ac:dyDescent="0.55000000000000004">
      <c r="A1" s="57" t="s">
        <v>174</v>
      </c>
      <c r="B1" s="58"/>
      <c r="C1" s="58"/>
      <c r="D1" s="58"/>
      <c r="E1" s="58"/>
    </row>
    <row r="3" spans="1:5" x14ac:dyDescent="0.35">
      <c r="A3" t="s">
        <v>175</v>
      </c>
    </row>
    <row r="5" spans="1:5" x14ac:dyDescent="0.35">
      <c r="A5" s="59"/>
    </row>
    <row r="6" spans="1:5" x14ac:dyDescent="0.35">
      <c r="A6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7EAF-4027-4CAB-A260-1E91B278B154}">
  <dimension ref="B2:J29"/>
  <sheetViews>
    <sheetView showGridLines="0" tabSelected="1" workbookViewId="0">
      <selection activeCell="H15" sqref="H15"/>
    </sheetView>
  </sheetViews>
  <sheetFormatPr defaultRowHeight="14.5" x14ac:dyDescent="0.35"/>
  <cols>
    <col min="1" max="1" width="8.81640625" customWidth="1"/>
    <col min="2" max="2" width="45.453125" customWidth="1"/>
    <col min="3" max="10" width="10.453125" customWidth="1"/>
  </cols>
  <sheetData>
    <row r="2" spans="2:10" x14ac:dyDescent="0.35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x14ac:dyDescent="0.35">
      <c r="B3" s="2" t="s">
        <v>1</v>
      </c>
      <c r="C3" s="3">
        <v>43830</v>
      </c>
      <c r="D3" s="3">
        <v>44196</v>
      </c>
      <c r="E3" s="3">
        <v>44561</v>
      </c>
      <c r="F3" s="4">
        <v>44926</v>
      </c>
      <c r="G3" s="4">
        <v>45291</v>
      </c>
      <c r="H3" s="4">
        <v>45657</v>
      </c>
      <c r="I3" s="4">
        <v>46022</v>
      </c>
      <c r="J3" s="4">
        <v>46387</v>
      </c>
    </row>
    <row r="4" spans="2:10" x14ac:dyDescent="0.35">
      <c r="B4" s="5" t="s">
        <v>2</v>
      </c>
      <c r="C4" s="6">
        <f>'[1]Income Statement'!C5</f>
        <v>152703</v>
      </c>
      <c r="D4" s="6">
        <f>'[1]Income Statement'!D5</f>
        <v>166761</v>
      </c>
      <c r="E4" s="6">
        <f>'[1]Income Statement'!E5</f>
        <v>195929</v>
      </c>
      <c r="F4" s="6">
        <v>215522</v>
      </c>
      <c r="G4" s="6">
        <v>237074</v>
      </c>
      <c r="H4" s="52">
        <v>258411</v>
      </c>
      <c r="I4" s="6">
        <v>276500</v>
      </c>
      <c r="J4" s="6">
        <v>290324</v>
      </c>
    </row>
    <row r="5" spans="2:10" x14ac:dyDescent="0.35">
      <c r="B5" s="7" t="s">
        <v>3</v>
      </c>
      <c r="C5" s="8">
        <f>'[1]Income Statement'!C7</f>
        <v>132886</v>
      </c>
      <c r="D5" s="8">
        <f>'[1]Income Statement'!D7</f>
        <v>144939</v>
      </c>
      <c r="E5" s="8">
        <f>'[1]Income Statement'!E7</f>
        <v>170684</v>
      </c>
      <c r="F5" s="8">
        <v>187541</v>
      </c>
      <c r="G5" s="8">
        <v>206296</v>
      </c>
      <c r="H5" s="52">
        <v>224862</v>
      </c>
      <c r="I5" s="8">
        <v>240602</v>
      </c>
      <c r="J5" s="8">
        <v>252633</v>
      </c>
    </row>
    <row r="6" spans="2:10" x14ac:dyDescent="0.35">
      <c r="B6" s="9" t="s">
        <v>4</v>
      </c>
      <c r="C6" s="10">
        <f t="shared" ref="C6:J6" si="0">C4-C5</f>
        <v>19817</v>
      </c>
      <c r="D6" s="10">
        <f t="shared" si="0"/>
        <v>21822</v>
      </c>
      <c r="E6" s="10">
        <f t="shared" si="0"/>
        <v>25245</v>
      </c>
      <c r="F6" s="10">
        <f t="shared" si="0"/>
        <v>27981</v>
      </c>
      <c r="G6" s="10">
        <f t="shared" si="0"/>
        <v>30778</v>
      </c>
      <c r="H6" s="10">
        <f t="shared" si="0"/>
        <v>33549</v>
      </c>
      <c r="I6" s="10">
        <f t="shared" si="0"/>
        <v>35898</v>
      </c>
      <c r="J6" s="10">
        <f t="shared" si="0"/>
        <v>37691</v>
      </c>
    </row>
    <row r="7" spans="2:10" x14ac:dyDescent="0.35">
      <c r="B7" s="5" t="s">
        <v>5</v>
      </c>
      <c r="C7" s="6"/>
      <c r="D7" s="6"/>
      <c r="E7" s="6"/>
      <c r="F7" s="6"/>
      <c r="G7" s="6"/>
      <c r="H7" s="6"/>
      <c r="I7" s="6"/>
      <c r="J7" s="6"/>
    </row>
    <row r="8" spans="2:10" x14ac:dyDescent="0.35">
      <c r="B8" s="5" t="s">
        <v>6</v>
      </c>
      <c r="C8" s="6">
        <f>SUM('[1]Income Statement'!C8,'[1]Income Statement'!C10)</f>
        <v>13588</v>
      </c>
      <c r="D8" s="6">
        <f>SUM('[1]Income Statement'!D8,'[1]Income Statement'!D10)</f>
        <v>14742</v>
      </c>
      <c r="E8" s="6">
        <f>SUM('[1]Income Statement'!E8,'[1]Income Statement'!E10)</f>
        <v>16756</v>
      </c>
      <c r="F8" s="6">
        <f>F4*F28</f>
        <v>18887.337243117239</v>
      </c>
      <c r="G8" s="6">
        <f>G4*G28</f>
        <v>20776.053440366999</v>
      </c>
      <c r="H8" s="6">
        <f>H4*H28</f>
        <v>22645.928046005367</v>
      </c>
      <c r="I8" s="6">
        <f>I4*I28</f>
        <v>24231.163165347003</v>
      </c>
      <c r="J8" s="6">
        <f>J4*J28</f>
        <v>25442.633688304533</v>
      </c>
    </row>
    <row r="9" spans="2:10" x14ac:dyDescent="0.35">
      <c r="B9" s="7" t="s">
        <v>7</v>
      </c>
      <c r="C9" s="8">
        <f>SUM(C8)</f>
        <v>13588</v>
      </c>
      <c r="D9" s="8">
        <f>SUM(D8)</f>
        <v>14742</v>
      </c>
      <c r="E9" s="8">
        <f>SUM(E8)</f>
        <v>16756</v>
      </c>
      <c r="F9" s="8">
        <f>F8</f>
        <v>18887.337243117239</v>
      </c>
      <c r="G9" s="8">
        <f>G8</f>
        <v>20776.053440366999</v>
      </c>
      <c r="H9" s="8">
        <f>H8</f>
        <v>22645.928046005367</v>
      </c>
      <c r="I9" s="8">
        <f>I8</f>
        <v>24231.163165347003</v>
      </c>
      <c r="J9" s="8">
        <f>J8</f>
        <v>25442.633688304533</v>
      </c>
    </row>
    <row r="10" spans="2:10" x14ac:dyDescent="0.35">
      <c r="B10" s="9" t="s">
        <v>8</v>
      </c>
      <c r="C10" s="10">
        <f t="shared" ref="C10:J10" si="1">C6-C9</f>
        <v>6229</v>
      </c>
      <c r="D10" s="10">
        <f t="shared" si="1"/>
        <v>7080</v>
      </c>
      <c r="E10" s="10">
        <f t="shared" si="1"/>
        <v>8489</v>
      </c>
      <c r="F10" s="10">
        <f t="shared" si="1"/>
        <v>9093.6627568827607</v>
      </c>
      <c r="G10" s="10">
        <f t="shared" si="1"/>
        <v>10001.946559633001</v>
      </c>
      <c r="H10" s="10">
        <f t="shared" si="1"/>
        <v>10903.071953994633</v>
      </c>
      <c r="I10" s="10">
        <f t="shared" si="1"/>
        <v>11666.836834652997</v>
      </c>
      <c r="J10" s="10">
        <f t="shared" si="1"/>
        <v>12248.366311695467</v>
      </c>
    </row>
    <row r="11" spans="2:10" x14ac:dyDescent="0.35">
      <c r="B11" s="7" t="s">
        <v>9</v>
      </c>
      <c r="C11" s="8">
        <f>'[1]Income Statement'!C9</f>
        <v>1492</v>
      </c>
      <c r="D11" s="8">
        <f>'[1]Income Statement'!D9</f>
        <v>1645</v>
      </c>
      <c r="E11" s="8">
        <f>'[1]Income Statement'!E9</f>
        <v>1781</v>
      </c>
      <c r="F11" s="8">
        <f>'Fixed Assets'!F5</f>
        <v>1995.9571154515827</v>
      </c>
      <c r="G11" s="8">
        <f>'Fixed Assets'!G5</f>
        <v>2144.3445116404519</v>
      </c>
      <c r="H11" s="8">
        <f>'Fixed Assets'!H5</f>
        <v>2303.7636174673962</v>
      </c>
      <c r="I11" s="8">
        <f>'Fixed Assets'!I5</f>
        <v>2475.0345741348665</v>
      </c>
      <c r="J11" s="8">
        <f>'Fixed Assets'!J5</f>
        <v>2659.0384954065948</v>
      </c>
    </row>
    <row r="12" spans="2:10" x14ac:dyDescent="0.35">
      <c r="B12" s="9" t="s">
        <v>10</v>
      </c>
      <c r="C12" s="10">
        <f t="shared" ref="C12:J12" si="2">C10-C11</f>
        <v>4737</v>
      </c>
      <c r="D12" s="10">
        <f t="shared" si="2"/>
        <v>5435</v>
      </c>
      <c r="E12" s="10">
        <f t="shared" si="2"/>
        <v>6708</v>
      </c>
      <c r="F12" s="10">
        <f t="shared" si="2"/>
        <v>7097.7056414311783</v>
      </c>
      <c r="G12" s="10">
        <f t="shared" si="2"/>
        <v>7857.6020479925492</v>
      </c>
      <c r="H12" s="10">
        <f t="shared" si="2"/>
        <v>8599.308336527236</v>
      </c>
      <c r="I12" s="10">
        <f t="shared" si="2"/>
        <v>9191.8022605181304</v>
      </c>
      <c r="J12" s="10">
        <f t="shared" si="2"/>
        <v>9589.327816288871</v>
      </c>
    </row>
    <row r="13" spans="2:10" x14ac:dyDescent="0.35">
      <c r="B13" s="7" t="s">
        <v>11</v>
      </c>
      <c r="C13" s="8">
        <f>'[1]Income Statement'!C16</f>
        <v>1061</v>
      </c>
      <c r="D13" s="8">
        <f>'[1]Income Statement'!D16</f>
        <v>1308</v>
      </c>
      <c r="E13" s="8">
        <f>'[1]Income Statement'!E16</f>
        <v>1601</v>
      </c>
      <c r="F13" s="8">
        <f>F12*F29</f>
        <v>1490.5181847005474</v>
      </c>
      <c r="G13" s="8">
        <f>G12*G29</f>
        <v>1650.0964300784353</v>
      </c>
      <c r="H13" s="8">
        <f>H12*H29</f>
        <v>1805.8547506707196</v>
      </c>
      <c r="I13" s="8">
        <f>I12*I29</f>
        <v>1930.2784747088074</v>
      </c>
      <c r="J13" s="8">
        <f>J12*J29</f>
        <v>2013.7588414206627</v>
      </c>
    </row>
    <row r="14" spans="2:10" x14ac:dyDescent="0.35">
      <c r="B14" s="9" t="s">
        <v>12</v>
      </c>
      <c r="C14" s="10">
        <f t="shared" ref="C14:J14" si="3">C12-C13</f>
        <v>3676</v>
      </c>
      <c r="D14" s="10">
        <f t="shared" si="3"/>
        <v>4127</v>
      </c>
      <c r="E14" s="10">
        <f t="shared" si="3"/>
        <v>5107</v>
      </c>
      <c r="F14" s="10">
        <f t="shared" si="3"/>
        <v>5607.1874567306313</v>
      </c>
      <c r="G14" s="10">
        <f t="shared" si="3"/>
        <v>6207.5056179141138</v>
      </c>
      <c r="H14" s="10">
        <f t="shared" si="3"/>
        <v>6793.4535858565159</v>
      </c>
      <c r="I14" s="10">
        <f t="shared" si="3"/>
        <v>7261.5237858093233</v>
      </c>
      <c r="J14" s="10">
        <f t="shared" si="3"/>
        <v>7575.568974868208</v>
      </c>
    </row>
    <row r="15" spans="2:10" x14ac:dyDescent="0.35">
      <c r="B15" s="5" t="s">
        <v>13</v>
      </c>
      <c r="C15" s="6">
        <f>C11</f>
        <v>1492</v>
      </c>
      <c r="D15" s="6">
        <f>D11</f>
        <v>1645</v>
      </c>
      <c r="E15" s="6">
        <f>E11</f>
        <v>1781</v>
      </c>
      <c r="F15" s="6">
        <f>'Fixed Assets'!F5</f>
        <v>1995.9571154515827</v>
      </c>
      <c r="G15" s="6">
        <f>'Fixed Assets'!G5</f>
        <v>2144.3445116404519</v>
      </c>
      <c r="H15" s="6">
        <f>'Fixed Assets'!H5</f>
        <v>2303.7636174673962</v>
      </c>
      <c r="I15" s="6">
        <f>'Fixed Assets'!I5</f>
        <v>2475.0345741348665</v>
      </c>
      <c r="J15" s="6">
        <f>'Fixed Assets'!J5</f>
        <v>2659.0384954065948</v>
      </c>
    </row>
    <row r="16" spans="2:10" x14ac:dyDescent="0.35">
      <c r="B16" s="5" t="s">
        <v>14</v>
      </c>
      <c r="C16" s="6">
        <f>'[1]Fixed Assets'!C6</f>
        <v>2701</v>
      </c>
      <c r="D16" s="6">
        <f>'[1]Fixed Assets'!D6</f>
        <v>5350</v>
      </c>
      <c r="E16" s="6">
        <f>'[1]Fixed Assets'!E6</f>
        <v>3568</v>
      </c>
      <c r="F16" s="6">
        <f>'Fixed Assets'!F6</f>
        <v>3957.2999999999997</v>
      </c>
      <c r="G16" s="6">
        <f>'Fixed Assets'!G6</f>
        <v>4251.501432682262</v>
      </c>
      <c r="H16" s="6">
        <f>'Fixed Assets'!H6</f>
        <v>4567.5749708385338</v>
      </c>
      <c r="I16" s="6">
        <f>'Fixed Assets'!I6</f>
        <v>4907.1466738442041</v>
      </c>
      <c r="J16" s="6">
        <f>'Fixed Assets'!J6</f>
        <v>5271.9634888006049</v>
      </c>
    </row>
    <row r="17" spans="2:10" x14ac:dyDescent="0.35">
      <c r="B17" s="5" t="s">
        <v>15</v>
      </c>
      <c r="C17" s="6">
        <f>C18-('[1]Net Working Capital'!C7-'[1]Net Working Capital'!C14)</f>
        <v>-691</v>
      </c>
      <c r="D17" s="6">
        <f t="shared" ref="D17:J17" si="4">D18-C18</f>
        <v>-2437</v>
      </c>
      <c r="E17" s="6">
        <f t="shared" si="4"/>
        <v>-1378</v>
      </c>
      <c r="F17" s="6">
        <f t="shared" si="4"/>
        <v>-244.0806175063517</v>
      </c>
      <c r="G17" s="6">
        <f t="shared" si="4"/>
        <v>-1155.6051621305305</v>
      </c>
      <c r="H17" s="6">
        <f t="shared" si="4"/>
        <v>-1144.0631330445067</v>
      </c>
      <c r="I17" s="6">
        <f t="shared" si="4"/>
        <v>-969.91082142664527</v>
      </c>
      <c r="J17" s="6">
        <f t="shared" si="4"/>
        <v>-741.24226311857274</v>
      </c>
    </row>
    <row r="18" spans="2:10" x14ac:dyDescent="0.35">
      <c r="B18" s="11" t="s">
        <v>16</v>
      </c>
      <c r="C18" s="6">
        <f t="shared" ref="C18:J18" si="5">C19-C20</f>
        <v>-7497</v>
      </c>
      <c r="D18" s="6">
        <f t="shared" si="5"/>
        <v>-9934</v>
      </c>
      <c r="E18" s="6">
        <f t="shared" si="5"/>
        <v>-11312</v>
      </c>
      <c r="F18" s="6">
        <f t="shared" si="5"/>
        <v>-11556.080617506352</v>
      </c>
      <c r="G18" s="6">
        <f t="shared" si="5"/>
        <v>-12711.685779636882</v>
      </c>
      <c r="H18" s="6">
        <f t="shared" si="5"/>
        <v>-13855.748912681389</v>
      </c>
      <c r="I18" s="6">
        <f t="shared" si="5"/>
        <v>-14825.659734108034</v>
      </c>
      <c r="J18" s="6">
        <f t="shared" si="5"/>
        <v>-15566.901997226607</v>
      </c>
    </row>
    <row r="19" spans="2:10" x14ac:dyDescent="0.35">
      <c r="B19" s="11" t="s">
        <v>17</v>
      </c>
      <c r="C19" s="6">
        <f>'[1]Net Working Capital'!D7</f>
        <v>14041</v>
      </c>
      <c r="D19" s="6">
        <f>'[1]Net Working Capital'!E7</f>
        <v>14815</v>
      </c>
      <c r="E19" s="6">
        <f>'[1]Net Working Capital'!F7</f>
        <v>17330</v>
      </c>
      <c r="F19" s="6">
        <f>'Net Working Capital'!G7</f>
        <v>19467.197536420659</v>
      </c>
      <c r="G19" s="6">
        <f>'Net Working Capital'!H7</f>
        <v>21413.991361244629</v>
      </c>
      <c r="H19" s="6">
        <f>'Net Working Capital'!I7</f>
        <v>23341.201011660945</v>
      </c>
      <c r="I19" s="6">
        <f>'Net Working Capital'!J7</f>
        <v>24975.05952139882</v>
      </c>
      <c r="J19" s="6">
        <f>'Net Working Capital'!K7</f>
        <v>26223.874026312278</v>
      </c>
    </row>
    <row r="20" spans="2:10" x14ac:dyDescent="0.35">
      <c r="B20" s="11" t="s">
        <v>18</v>
      </c>
      <c r="C20" s="6">
        <f>'[1]Net Working Capital'!D14</f>
        <v>21538</v>
      </c>
      <c r="D20" s="6">
        <f>'[1]Net Working Capital'!E14</f>
        <v>24749</v>
      </c>
      <c r="E20" s="6">
        <f>'[1]Net Working Capital'!F14</f>
        <v>28642</v>
      </c>
      <c r="F20" s="6">
        <f>'Net Working Capital'!G14</f>
        <v>31023.278153927011</v>
      </c>
      <c r="G20" s="6">
        <f>'Net Working Capital'!H14</f>
        <v>34125.677140881511</v>
      </c>
      <c r="H20" s="6">
        <f>'Net Working Capital'!I14</f>
        <v>37196.949924342334</v>
      </c>
      <c r="I20" s="6">
        <f>'Net Working Capital'!J14</f>
        <v>39800.719255506854</v>
      </c>
      <c r="J20" s="6">
        <f>'Net Working Capital'!K14</f>
        <v>41790.776023538885</v>
      </c>
    </row>
    <row r="21" spans="2:10" x14ac:dyDescent="0.35">
      <c r="B21" s="12" t="s">
        <v>19</v>
      </c>
      <c r="C21" s="13">
        <f t="shared" ref="C21:J21" si="6">C14+C15-C16-C17</f>
        <v>3158</v>
      </c>
      <c r="D21" s="13">
        <f t="shared" si="6"/>
        <v>2859</v>
      </c>
      <c r="E21" s="13">
        <f t="shared" si="6"/>
        <v>4698</v>
      </c>
      <c r="F21" s="13">
        <f t="shared" si="6"/>
        <v>3889.9251896885658</v>
      </c>
      <c r="G21" s="13">
        <f t="shared" si="6"/>
        <v>5255.9538590028333</v>
      </c>
      <c r="H21" s="13">
        <f t="shared" si="6"/>
        <v>5673.7053655298841</v>
      </c>
      <c r="I21" s="13">
        <f t="shared" si="6"/>
        <v>5799.32250752663</v>
      </c>
      <c r="J21" s="13">
        <f t="shared" si="6"/>
        <v>5703.8862445927707</v>
      </c>
    </row>
    <row r="23" spans="2:10" x14ac:dyDescent="0.35">
      <c r="B23" s="1" t="s">
        <v>20</v>
      </c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2" t="str">
        <f t="shared" ref="B24:J24" si="7">B3</f>
        <v>Fiscal Year</v>
      </c>
      <c r="C24" s="3">
        <f t="shared" si="7"/>
        <v>43830</v>
      </c>
      <c r="D24" s="3">
        <f t="shared" si="7"/>
        <v>44196</v>
      </c>
      <c r="E24" s="3">
        <f t="shared" si="7"/>
        <v>44561</v>
      </c>
      <c r="F24" s="4">
        <f t="shared" si="7"/>
        <v>44926</v>
      </c>
      <c r="G24" s="4">
        <f t="shared" si="7"/>
        <v>45291</v>
      </c>
      <c r="H24" s="4">
        <f t="shared" si="7"/>
        <v>45657</v>
      </c>
      <c r="I24" s="4">
        <f t="shared" si="7"/>
        <v>46022</v>
      </c>
      <c r="J24" s="4">
        <f t="shared" si="7"/>
        <v>46387</v>
      </c>
    </row>
    <row r="25" spans="2:10" x14ac:dyDescent="0.35">
      <c r="B25" s="14" t="s">
        <v>21</v>
      </c>
      <c r="C25" s="14"/>
      <c r="D25" s="15">
        <f>D4/C4-1</f>
        <v>9.2061059704131587E-2</v>
      </c>
      <c r="E25" s="15">
        <f>E4/D4-1</f>
        <v>0.17490900150514799</v>
      </c>
      <c r="F25" s="15">
        <v>0.1</v>
      </c>
      <c r="G25" s="15">
        <v>0.1</v>
      </c>
      <c r="H25" s="15">
        <v>0.09</v>
      </c>
      <c r="I25" s="15">
        <v>7.0000000000000007E-2</v>
      </c>
      <c r="J25" s="15">
        <v>0.05</v>
      </c>
    </row>
    <row r="26" spans="2:10" x14ac:dyDescent="0.35">
      <c r="B26" s="14"/>
      <c r="C26" s="14"/>
      <c r="D26" s="14"/>
      <c r="E26" s="14"/>
      <c r="F26" s="14"/>
      <c r="G26" s="14"/>
      <c r="H26" s="14"/>
      <c r="I26" s="14"/>
      <c r="J26" s="14"/>
    </row>
    <row r="27" spans="2:10" x14ac:dyDescent="0.35">
      <c r="B27" s="14" t="s">
        <v>22</v>
      </c>
      <c r="C27" s="15">
        <f>C5/C4</f>
        <v>0.87022520841109863</v>
      </c>
      <c r="D27" s="15">
        <f>D5/D4</f>
        <v>0.86914206559087559</v>
      </c>
      <c r="E27" s="15">
        <f>E5/E4</f>
        <v>0.87115230517177145</v>
      </c>
      <c r="F27" s="15">
        <f>AVERAGE(C27:E27)</f>
        <v>0.87017319305791518</v>
      </c>
      <c r="G27" s="15">
        <f t="shared" ref="G27:J28" si="8">F27</f>
        <v>0.87017319305791518</v>
      </c>
      <c r="H27" s="15">
        <f t="shared" si="8"/>
        <v>0.87017319305791518</v>
      </c>
      <c r="I27" s="15">
        <f t="shared" si="8"/>
        <v>0.87017319305791518</v>
      </c>
      <c r="J27" s="15">
        <f t="shared" si="8"/>
        <v>0.87017319305791518</v>
      </c>
    </row>
    <row r="28" spans="2:10" x14ac:dyDescent="0.35">
      <c r="B28" s="14" t="s">
        <v>23</v>
      </c>
      <c r="C28" s="15">
        <f>C8/C4</f>
        <v>8.8983189590250353E-2</v>
      </c>
      <c r="D28" s="15">
        <f>D8/D4</f>
        <v>8.8401964488099741E-2</v>
      </c>
      <c r="E28" s="15">
        <f>E8/E4</f>
        <v>8.5520775382919328E-2</v>
      </c>
      <c r="F28" s="15">
        <f>AVERAGE(C28:E28)</f>
        <v>8.7635309820423155E-2</v>
      </c>
      <c r="G28" s="15">
        <f t="shared" si="8"/>
        <v>8.7635309820423155E-2</v>
      </c>
      <c r="H28" s="15">
        <f t="shared" si="8"/>
        <v>8.7635309820423155E-2</v>
      </c>
      <c r="I28" s="15">
        <f t="shared" si="8"/>
        <v>8.7635309820423155E-2</v>
      </c>
      <c r="J28" s="15">
        <f t="shared" si="8"/>
        <v>8.7635309820423155E-2</v>
      </c>
    </row>
    <row r="29" spans="2:10" x14ac:dyDescent="0.35">
      <c r="B29" s="14" t="s">
        <v>24</v>
      </c>
      <c r="C29" s="15">
        <f>C13/C12</f>
        <v>0.22398142284146083</v>
      </c>
      <c r="D29" s="15">
        <f>D13/D12</f>
        <v>0.24066237350505978</v>
      </c>
      <c r="E29" s="15">
        <f>E13/E12</f>
        <v>0.23867024448419796</v>
      </c>
      <c r="F29" s="15">
        <v>0.21</v>
      </c>
      <c r="G29" s="15">
        <v>0.21</v>
      </c>
      <c r="H29" s="15">
        <v>0.21</v>
      </c>
      <c r="I29" s="15">
        <v>0.21</v>
      </c>
      <c r="J29" s="15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6572-830F-4C14-AD66-42092CD94BBC}">
  <dimension ref="A1:K12"/>
  <sheetViews>
    <sheetView showGridLines="0" workbookViewId="0">
      <selection activeCell="G12" sqref="G12"/>
    </sheetView>
  </sheetViews>
  <sheetFormatPr defaultRowHeight="14.5" x14ac:dyDescent="0.35"/>
  <cols>
    <col min="2" max="2" width="27.36328125" customWidth="1"/>
    <col min="3" max="3" width="8.7265625" customWidth="1"/>
  </cols>
  <sheetData>
    <row r="1" spans="1:11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35">
      <c r="A2" s="16"/>
      <c r="B2" s="17" t="s">
        <v>25</v>
      </c>
      <c r="C2" s="17"/>
      <c r="D2" s="17"/>
      <c r="E2" s="17"/>
      <c r="F2" s="17"/>
      <c r="G2" s="17"/>
      <c r="H2" s="17"/>
      <c r="I2" s="17"/>
      <c r="J2" s="17"/>
      <c r="K2" s="16"/>
    </row>
    <row r="3" spans="1:11" x14ac:dyDescent="0.35">
      <c r="A3" s="16"/>
      <c r="B3" s="18" t="s">
        <v>1</v>
      </c>
      <c r="C3" s="19">
        <v>43830</v>
      </c>
      <c r="D3" s="19">
        <v>44196</v>
      </c>
      <c r="E3" s="19">
        <v>44561</v>
      </c>
      <c r="F3" s="20">
        <v>44926</v>
      </c>
      <c r="G3" s="20">
        <v>45291</v>
      </c>
      <c r="H3" s="20">
        <v>45657</v>
      </c>
      <c r="I3" s="20">
        <v>46022</v>
      </c>
      <c r="J3" s="20">
        <v>46387</v>
      </c>
      <c r="K3" s="16"/>
    </row>
    <row r="4" spans="1:11" x14ac:dyDescent="0.35">
      <c r="A4" s="16"/>
      <c r="B4" s="21" t="s">
        <v>26</v>
      </c>
      <c r="C4" s="28">
        <f>SUM('[1]Balance Sheet'!C11:C12)</f>
        <v>19681</v>
      </c>
      <c r="D4" s="28">
        <f>SUM('[1]Balance Sheet'!D11:D12)</f>
        <v>20890</v>
      </c>
      <c r="E4" s="28">
        <f>SUM('[1]Balance Sheet'!E11:E12)</f>
        <v>24595</v>
      </c>
      <c r="F4" s="28">
        <f>E7</f>
        <v>26382</v>
      </c>
      <c r="G4" s="28">
        <f>F7</f>
        <v>28343.342884548416</v>
      </c>
      <c r="H4" s="28">
        <f>G7</f>
        <v>30450.499805590225</v>
      </c>
      <c r="I4" s="28">
        <f>H7</f>
        <v>32714.311158961362</v>
      </c>
      <c r="J4" s="28">
        <f>I7</f>
        <v>35146.4232586707</v>
      </c>
      <c r="K4" s="16"/>
    </row>
    <row r="5" spans="1:11" x14ac:dyDescent="0.35">
      <c r="A5" s="16"/>
      <c r="B5" s="21" t="s">
        <v>27</v>
      </c>
      <c r="C5" s="28">
        <f>'[1]Free Cash Flow'!C11</f>
        <v>1492</v>
      </c>
      <c r="D5" s="28">
        <f>'[1]Free Cash Flow'!D11</f>
        <v>1645</v>
      </c>
      <c r="E5" s="28">
        <f>'[1]Free Cash Flow'!E11</f>
        <v>1781</v>
      </c>
      <c r="F5" s="28">
        <f>F11*F4</f>
        <v>1995.9571154515827</v>
      </c>
      <c r="G5" s="28">
        <f>G11*G4</f>
        <v>2144.3445116404519</v>
      </c>
      <c r="H5" s="28">
        <f>H11*H4</f>
        <v>2303.7636174673962</v>
      </c>
      <c r="I5" s="28">
        <f>I11*I4</f>
        <v>2475.0345741348665</v>
      </c>
      <c r="J5" s="28">
        <f>J11*J4</f>
        <v>2659.0384954065948</v>
      </c>
      <c r="K5" s="16"/>
    </row>
    <row r="6" spans="1:11" x14ac:dyDescent="0.35">
      <c r="A6" s="16"/>
      <c r="B6" s="21" t="s">
        <v>28</v>
      </c>
      <c r="C6" s="28">
        <f>C7-C4+C5</f>
        <v>2701</v>
      </c>
      <c r="D6" s="28">
        <f>D7-D4+D5</f>
        <v>5350</v>
      </c>
      <c r="E6" s="28">
        <f>E7-E4+E5</f>
        <v>3568</v>
      </c>
      <c r="F6" s="28">
        <f>F12*F4</f>
        <v>3957.2999999999997</v>
      </c>
      <c r="G6" s="28">
        <f>G12*G4</f>
        <v>4251.501432682262</v>
      </c>
      <c r="H6" s="28">
        <f>H12*H4</f>
        <v>4567.5749708385338</v>
      </c>
      <c r="I6" s="28">
        <f>I12*I4</f>
        <v>4907.1466738442041</v>
      </c>
      <c r="J6" s="28">
        <f>J12*J4</f>
        <v>5271.9634888006049</v>
      </c>
      <c r="K6" s="16"/>
    </row>
    <row r="7" spans="1:11" x14ac:dyDescent="0.35">
      <c r="A7" s="16"/>
      <c r="B7" s="29" t="s">
        <v>29</v>
      </c>
      <c r="C7" s="30">
        <f>SUM('[1]Balance Sheet'!D11:D12)</f>
        <v>20890</v>
      </c>
      <c r="D7" s="30">
        <f>SUM('[1]Balance Sheet'!E11:E12)</f>
        <v>24595</v>
      </c>
      <c r="E7" s="30">
        <f>SUM('[1]Balance Sheet'!F11:F12)</f>
        <v>26382</v>
      </c>
      <c r="F7" s="30">
        <f>F4-F5+F6</f>
        <v>28343.342884548416</v>
      </c>
      <c r="G7" s="30">
        <f>G4-G5+G6</f>
        <v>30450.499805590225</v>
      </c>
      <c r="H7" s="30">
        <f>H4-H5+H6</f>
        <v>32714.311158961362</v>
      </c>
      <c r="I7" s="30">
        <f>I4-I5+I6</f>
        <v>35146.4232586707</v>
      </c>
      <c r="J7" s="30">
        <f>J4-J5+J6</f>
        <v>37759.348252064709</v>
      </c>
      <c r="K7" s="16"/>
    </row>
    <row r="8" spans="1:11" x14ac:dyDescent="0.35">
      <c r="A8" s="16"/>
      <c r="B8" s="16"/>
      <c r="C8" s="16"/>
      <c r="D8" s="16"/>
      <c r="E8" s="28"/>
      <c r="F8" s="16"/>
      <c r="G8" s="16"/>
      <c r="H8" s="16"/>
      <c r="I8" s="16"/>
      <c r="J8" s="16"/>
      <c r="K8" s="16"/>
    </row>
    <row r="9" spans="1:11" x14ac:dyDescent="0.35">
      <c r="A9" s="16"/>
      <c r="B9" s="17" t="s">
        <v>20</v>
      </c>
      <c r="C9" s="17"/>
      <c r="D9" s="17"/>
      <c r="E9" s="17"/>
      <c r="F9" s="17"/>
      <c r="G9" s="17"/>
      <c r="H9" s="17"/>
      <c r="I9" s="17"/>
      <c r="J9" s="17"/>
      <c r="K9" s="16"/>
    </row>
    <row r="10" spans="1:11" x14ac:dyDescent="0.35">
      <c r="A10" s="16"/>
      <c r="B10" s="18" t="s">
        <v>1</v>
      </c>
      <c r="C10" s="19">
        <v>43830</v>
      </c>
      <c r="D10" s="19">
        <v>44196</v>
      </c>
      <c r="E10" s="19">
        <v>44561</v>
      </c>
      <c r="F10" s="20">
        <v>44926</v>
      </c>
      <c r="G10" s="20">
        <v>45291</v>
      </c>
      <c r="H10" s="20">
        <v>45657</v>
      </c>
      <c r="I10" s="20">
        <v>46022</v>
      </c>
      <c r="J10" s="20">
        <v>46387</v>
      </c>
      <c r="K10" s="16"/>
    </row>
    <row r="11" spans="1:11" x14ac:dyDescent="0.35">
      <c r="A11" s="16"/>
      <c r="B11" s="24" t="s">
        <v>30</v>
      </c>
      <c r="C11" s="25">
        <f>C5/C4</f>
        <v>7.5809156038819159E-2</v>
      </c>
      <c r="D11" s="25">
        <f>D5/D4</f>
        <v>7.8745811393011012E-2</v>
      </c>
      <c r="E11" s="25">
        <f>E5/E4</f>
        <v>7.2413092091888592E-2</v>
      </c>
      <c r="F11" s="25">
        <f>AVERAGE(C11:E11)</f>
        <v>7.5656019841239583E-2</v>
      </c>
      <c r="G11" s="25">
        <f t="shared" ref="G11:J12" si="0">F11</f>
        <v>7.5656019841239583E-2</v>
      </c>
      <c r="H11" s="25">
        <f t="shared" si="0"/>
        <v>7.5656019841239583E-2</v>
      </c>
      <c r="I11" s="25">
        <f t="shared" si="0"/>
        <v>7.5656019841239583E-2</v>
      </c>
      <c r="J11" s="25">
        <f t="shared" si="0"/>
        <v>7.5656019841239583E-2</v>
      </c>
      <c r="K11" s="16"/>
    </row>
    <row r="12" spans="1:11" x14ac:dyDescent="0.35">
      <c r="A12" s="16"/>
      <c r="B12" s="24" t="s">
        <v>31</v>
      </c>
      <c r="C12" s="25">
        <f>C6/C4</f>
        <v>0.13723896143488643</v>
      </c>
      <c r="D12" s="25">
        <f>D6/D4</f>
        <v>0.25610339875538535</v>
      </c>
      <c r="E12" s="25">
        <f>E6/E4</f>
        <v>0.14507013620654605</v>
      </c>
      <c r="F12" s="25">
        <v>0.15</v>
      </c>
      <c r="G12" s="25">
        <f t="shared" si="0"/>
        <v>0.15</v>
      </c>
      <c r="H12" s="25">
        <f t="shared" si="0"/>
        <v>0.15</v>
      </c>
      <c r="I12" s="25">
        <f t="shared" si="0"/>
        <v>0.15</v>
      </c>
      <c r="J12" s="25">
        <f t="shared" si="0"/>
        <v>0.15</v>
      </c>
      <c r="K1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7933-6293-462F-AB79-2085F3EF9916}">
  <dimension ref="A1:K29"/>
  <sheetViews>
    <sheetView showGridLines="0" topLeftCell="A7" workbookViewId="0">
      <selection activeCell="D22" sqref="D22"/>
    </sheetView>
  </sheetViews>
  <sheetFormatPr defaultRowHeight="14.5" x14ac:dyDescent="0.35"/>
  <cols>
    <col min="2" max="2" width="41.36328125" customWidth="1"/>
    <col min="3" max="3" width="8.7265625" customWidth="1"/>
  </cols>
  <sheetData>
    <row r="1" spans="1:11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35">
      <c r="A2" s="16"/>
      <c r="B2" s="17" t="s">
        <v>32</v>
      </c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35">
      <c r="A3" s="16"/>
      <c r="B3" s="18" t="s">
        <v>1</v>
      </c>
      <c r="C3" s="19">
        <v>43465</v>
      </c>
      <c r="D3" s="19">
        <v>43830</v>
      </c>
      <c r="E3" s="19">
        <v>44196</v>
      </c>
      <c r="F3" s="19">
        <v>44561</v>
      </c>
      <c r="G3" s="20">
        <v>44926</v>
      </c>
      <c r="H3" s="20">
        <v>45291</v>
      </c>
      <c r="I3" s="20">
        <v>45657</v>
      </c>
      <c r="J3" s="20">
        <v>46022</v>
      </c>
      <c r="K3" s="20">
        <v>46387</v>
      </c>
    </row>
    <row r="4" spans="1:11" x14ac:dyDescent="0.35">
      <c r="A4" s="16"/>
      <c r="B4" s="21" t="s">
        <v>33</v>
      </c>
      <c r="C4" s="28">
        <f>'[1]Balance Sheet'!C6</f>
        <v>1669</v>
      </c>
      <c r="D4" s="28">
        <f>'[1]Balance Sheet'!D6</f>
        <v>1535</v>
      </c>
      <c r="E4" s="28">
        <f>'[1]Balance Sheet'!E6</f>
        <v>1550</v>
      </c>
      <c r="F4" s="28">
        <f>'[1]Balance Sheet'!F6</f>
        <v>1803</v>
      </c>
      <c r="G4" s="28">
        <f t="shared" ref="G4:K5" si="0">G21*G18/360</f>
        <v>2173.4297949165812</v>
      </c>
      <c r="H4" s="28">
        <f t="shared" si="0"/>
        <v>2390.7707575099225</v>
      </c>
      <c r="I4" s="28">
        <f t="shared" si="0"/>
        <v>2605.9435544129537</v>
      </c>
      <c r="J4" s="28">
        <f t="shared" si="0"/>
        <v>2788.3619226549249</v>
      </c>
      <c r="K4" s="28">
        <f t="shared" si="0"/>
        <v>2927.7699342960882</v>
      </c>
    </row>
    <row r="5" spans="1:11" x14ac:dyDescent="0.35">
      <c r="A5" s="16"/>
      <c r="B5" s="21" t="s">
        <v>34</v>
      </c>
      <c r="C5" s="28">
        <f>'[1]Balance Sheet'!C7</f>
        <v>11040</v>
      </c>
      <c r="D5" s="28">
        <f>'[1]Balance Sheet'!D7</f>
        <v>11395</v>
      </c>
      <c r="E5" s="28">
        <f>'[1]Balance Sheet'!E7</f>
        <v>12242</v>
      </c>
      <c r="F5" s="28">
        <f>'[1]Balance Sheet'!F7</f>
        <v>14215</v>
      </c>
      <c r="G5" s="28">
        <f t="shared" si="0"/>
        <v>16088.260218628007</v>
      </c>
      <c r="H5" s="28">
        <f t="shared" si="0"/>
        <v>17697.16344725731</v>
      </c>
      <c r="I5" s="28">
        <f t="shared" si="0"/>
        <v>19289.853254920956</v>
      </c>
      <c r="J5" s="28">
        <f t="shared" si="0"/>
        <v>20640.11381576474</v>
      </c>
      <c r="K5" s="28">
        <f t="shared" si="0"/>
        <v>21672.196713319481</v>
      </c>
    </row>
    <row r="6" spans="1:11" x14ac:dyDescent="0.35">
      <c r="A6" s="16"/>
      <c r="B6" s="21" t="s">
        <v>35</v>
      </c>
      <c r="C6" s="28">
        <f>'[1]Balance Sheet'!C8</f>
        <v>321</v>
      </c>
      <c r="D6" s="28">
        <f>'[1]Balance Sheet'!D8</f>
        <v>1111</v>
      </c>
      <c r="E6" s="28">
        <f>'[1]Balance Sheet'!E8</f>
        <v>1023</v>
      </c>
      <c r="F6" s="28">
        <f>'[1]Balance Sheet'!F8</f>
        <v>1312</v>
      </c>
      <c r="G6" s="28">
        <f>G25*G18</f>
        <v>1205.5075228760702</v>
      </c>
      <c r="H6" s="28">
        <f>H25*H18</f>
        <v>1326.0571564773966</v>
      </c>
      <c r="I6" s="28">
        <f>I25*I18</f>
        <v>1445.4042023270395</v>
      </c>
      <c r="J6" s="28">
        <f>J25*J18</f>
        <v>1546.5837829791549</v>
      </c>
      <c r="K6" s="28">
        <f>K25*K18</f>
        <v>1623.9073786967094</v>
      </c>
    </row>
    <row r="7" spans="1:11" x14ac:dyDescent="0.35">
      <c r="A7" s="16"/>
      <c r="B7" s="29" t="s">
        <v>17</v>
      </c>
      <c r="C7" s="30">
        <f t="shared" ref="C7:K7" si="1">SUM(C4:C6)</f>
        <v>13030</v>
      </c>
      <c r="D7" s="30">
        <f t="shared" si="1"/>
        <v>14041</v>
      </c>
      <c r="E7" s="30">
        <f t="shared" si="1"/>
        <v>14815</v>
      </c>
      <c r="F7" s="30">
        <f t="shared" si="1"/>
        <v>17330</v>
      </c>
      <c r="G7" s="30">
        <f t="shared" si="1"/>
        <v>19467.197536420659</v>
      </c>
      <c r="H7" s="30">
        <f t="shared" si="1"/>
        <v>21413.991361244629</v>
      </c>
      <c r="I7" s="30">
        <f t="shared" si="1"/>
        <v>23341.201011660945</v>
      </c>
      <c r="J7" s="30">
        <f t="shared" si="1"/>
        <v>24975.05952139882</v>
      </c>
      <c r="K7" s="30">
        <f t="shared" si="1"/>
        <v>26223.874026312278</v>
      </c>
    </row>
    <row r="8" spans="1:11" x14ac:dyDescent="0.3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35">
      <c r="A9" s="16"/>
      <c r="B9" s="21" t="s">
        <v>36</v>
      </c>
      <c r="C9" s="28">
        <f>'[1]Balance Sheet'!C16</f>
        <v>11237</v>
      </c>
      <c r="D9" s="28">
        <f>'[1]Balance Sheet'!D16</f>
        <v>11679</v>
      </c>
      <c r="E9" s="28">
        <f>'[1]Balance Sheet'!E16</f>
        <v>14172</v>
      </c>
      <c r="F9" s="28">
        <f>'[1]Balance Sheet'!F16</f>
        <v>16278</v>
      </c>
      <c r="G9" s="28">
        <f>G23*G19/360</f>
        <v>17454.469641617219</v>
      </c>
      <c r="H9" s="28">
        <f>H23*H19/360</f>
        <v>19200.000368917015</v>
      </c>
      <c r="I9" s="28">
        <f>I23*I19/360</f>
        <v>20927.940837221362</v>
      </c>
      <c r="J9" s="28">
        <f>J23*J19/360</f>
        <v>22392.865051974699</v>
      </c>
      <c r="K9" s="28">
        <f>K23*K19/360</f>
        <v>23512.592067711506</v>
      </c>
    </row>
    <row r="10" spans="1:11" x14ac:dyDescent="0.35">
      <c r="A10" s="16"/>
      <c r="B10" s="21" t="s">
        <v>37</v>
      </c>
      <c r="C10" s="28">
        <f>'[1]Balance Sheet'!C17</f>
        <v>2994</v>
      </c>
      <c r="D10" s="28">
        <f>'[1]Balance Sheet'!D17</f>
        <v>3176</v>
      </c>
      <c r="E10" s="28">
        <f>'[1]Balance Sheet'!E17</f>
        <v>3605</v>
      </c>
      <c r="F10" s="28">
        <f>'[1]Balance Sheet'!F17</f>
        <v>4090</v>
      </c>
      <c r="G10" s="28">
        <f>G26*G$18</f>
        <v>4549.6084723095091</v>
      </c>
      <c r="H10" s="28">
        <f>H26*H$18</f>
        <v>5004.5650975970184</v>
      </c>
      <c r="I10" s="28">
        <f>I26*I$18</f>
        <v>5454.9831336846009</v>
      </c>
      <c r="J10" s="28">
        <f>J26*J$18</f>
        <v>5836.8368082774805</v>
      </c>
      <c r="K10" s="28">
        <f>K26*K$18</f>
        <v>6128.6575389741456</v>
      </c>
    </row>
    <row r="11" spans="1:11" x14ac:dyDescent="0.35">
      <c r="A11" s="16"/>
      <c r="B11" s="21" t="s">
        <v>38</v>
      </c>
      <c r="C11" s="28">
        <f>'[1]Balance Sheet'!C18</f>
        <v>1057</v>
      </c>
      <c r="D11" s="28">
        <f>'[1]Balance Sheet'!D18</f>
        <v>1180</v>
      </c>
      <c r="E11" s="28">
        <f>'[1]Balance Sheet'!E18</f>
        <v>1393</v>
      </c>
      <c r="F11" s="28">
        <f>'[1]Balance Sheet'!F18</f>
        <v>1671</v>
      </c>
      <c r="G11" s="28">
        <f t="shared" ref="G11:K13" si="2">G27*G$18</f>
        <v>1728.230236023214</v>
      </c>
      <c r="H11" s="28">
        <f t="shared" si="2"/>
        <v>1901.0516558632874</v>
      </c>
      <c r="I11" s="28">
        <f t="shared" si="2"/>
        <v>2072.149031286805</v>
      </c>
      <c r="J11" s="28">
        <f t="shared" si="2"/>
        <v>2217.2013078034665</v>
      </c>
      <c r="K11" s="28">
        <f t="shared" si="2"/>
        <v>2328.0533543823999</v>
      </c>
    </row>
    <row r="12" spans="1:11" x14ac:dyDescent="0.35">
      <c r="A12" s="16"/>
      <c r="B12" s="21" t="s">
        <v>39</v>
      </c>
      <c r="C12" s="28">
        <f>'[1]Balance Sheet'!C19</f>
        <v>1624</v>
      </c>
      <c r="D12" s="28">
        <f>'[1]Balance Sheet'!D19</f>
        <v>1711</v>
      </c>
      <c r="E12" s="28">
        <f>'[1]Balance Sheet'!E19</f>
        <v>1851</v>
      </c>
      <c r="F12" s="28">
        <f>'[1]Balance Sheet'!F19</f>
        <v>2042</v>
      </c>
      <c r="G12" s="28">
        <f t="shared" si="2"/>
        <v>2381.3827516652386</v>
      </c>
      <c r="H12" s="28">
        <f t="shared" si="2"/>
        <v>2619.518816957363</v>
      </c>
      <c r="I12" s="28">
        <f t="shared" si="2"/>
        <v>2855.2792672700048</v>
      </c>
      <c r="J12" s="28">
        <f t="shared" si="2"/>
        <v>3055.1513573344646</v>
      </c>
      <c r="K12" s="28">
        <f t="shared" si="2"/>
        <v>3207.8978758291901</v>
      </c>
    </row>
    <row r="13" spans="1:11" x14ac:dyDescent="0.35">
      <c r="A13" s="16"/>
      <c r="B13" s="21" t="s">
        <v>40</v>
      </c>
      <c r="C13" s="28">
        <f>'[1]Balance Sheet'!C21</f>
        <v>2924</v>
      </c>
      <c r="D13" s="28">
        <f>'[1]Balance Sheet'!D21</f>
        <v>3792</v>
      </c>
      <c r="E13" s="28">
        <f>'[1]Balance Sheet'!E21</f>
        <v>3728</v>
      </c>
      <c r="F13" s="28">
        <f>'[1]Balance Sheet'!F21</f>
        <v>4561</v>
      </c>
      <c r="G13" s="28">
        <f t="shared" si="2"/>
        <v>4909.5870523118328</v>
      </c>
      <c r="H13" s="28">
        <f t="shared" si="2"/>
        <v>5400.5412015468273</v>
      </c>
      <c r="I13" s="28">
        <f t="shared" si="2"/>
        <v>5886.5976548795625</v>
      </c>
      <c r="J13" s="28">
        <f t="shared" si="2"/>
        <v>6298.6647301167477</v>
      </c>
      <c r="K13" s="28">
        <f t="shared" si="2"/>
        <v>6613.575186641644</v>
      </c>
    </row>
    <row r="14" spans="1:11" x14ac:dyDescent="0.35">
      <c r="A14" s="16"/>
      <c r="B14" s="29" t="s">
        <v>41</v>
      </c>
      <c r="C14" s="30">
        <f t="shared" ref="C14:K14" si="3">SUM(C9:C13)</f>
        <v>19836</v>
      </c>
      <c r="D14" s="30">
        <f t="shared" si="3"/>
        <v>21538</v>
      </c>
      <c r="E14" s="30">
        <f t="shared" si="3"/>
        <v>24749</v>
      </c>
      <c r="F14" s="30">
        <f t="shared" si="3"/>
        <v>28642</v>
      </c>
      <c r="G14" s="30">
        <f t="shared" si="3"/>
        <v>31023.278153927011</v>
      </c>
      <c r="H14" s="30">
        <f t="shared" si="3"/>
        <v>34125.677140881511</v>
      </c>
      <c r="I14" s="30">
        <f t="shared" si="3"/>
        <v>37196.949924342334</v>
      </c>
      <c r="J14" s="30">
        <f t="shared" si="3"/>
        <v>39800.719255506854</v>
      </c>
      <c r="K14" s="30">
        <f t="shared" si="3"/>
        <v>41790.776023538885</v>
      </c>
    </row>
    <row r="15" spans="1:1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35">
      <c r="A16" s="16"/>
      <c r="B16" s="17" t="s">
        <v>20</v>
      </c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35">
      <c r="A17" s="16"/>
      <c r="B17" s="18" t="s">
        <v>1</v>
      </c>
      <c r="C17" s="19">
        <v>43465</v>
      </c>
      <c r="D17" s="19">
        <v>43830</v>
      </c>
      <c r="E17" s="19">
        <v>44196</v>
      </c>
      <c r="F17" s="19">
        <v>44561</v>
      </c>
      <c r="G17" s="20">
        <v>44926</v>
      </c>
      <c r="H17" s="20">
        <v>45291</v>
      </c>
      <c r="I17" s="20">
        <v>45657</v>
      </c>
      <c r="J17" s="20">
        <v>46022</v>
      </c>
      <c r="K17" s="20">
        <v>46387</v>
      </c>
    </row>
    <row r="18" spans="1:11" x14ac:dyDescent="0.35">
      <c r="A18" s="16"/>
      <c r="B18" s="24" t="s">
        <v>2</v>
      </c>
      <c r="C18" s="31">
        <v>141576</v>
      </c>
      <c r="D18" s="31">
        <f>'[1]Free Cash Flow'!C4</f>
        <v>152703</v>
      </c>
      <c r="E18" s="31">
        <f>'[1]Free Cash Flow'!D4</f>
        <v>166761</v>
      </c>
      <c r="F18" s="31">
        <f>'[1]Free Cash Flow'!E4</f>
        <v>195929</v>
      </c>
      <c r="G18" s="31">
        <f>'Free Cash Flow'!F4</f>
        <v>215522</v>
      </c>
      <c r="H18" s="31">
        <f>'Free Cash Flow'!G4</f>
        <v>237074</v>
      </c>
      <c r="I18" s="31">
        <f>'Free Cash Flow'!H4</f>
        <v>258411</v>
      </c>
      <c r="J18" s="31">
        <f>'Free Cash Flow'!I4</f>
        <v>276500</v>
      </c>
      <c r="K18" s="31">
        <f>'Free Cash Flow'!J4</f>
        <v>290324</v>
      </c>
    </row>
    <row r="19" spans="1:11" x14ac:dyDescent="0.35">
      <c r="A19" s="16"/>
      <c r="B19" s="24" t="s">
        <v>3</v>
      </c>
      <c r="C19" s="31">
        <v>123152</v>
      </c>
      <c r="D19" s="31">
        <f>'[1]Free Cash Flow'!C5</f>
        <v>132886</v>
      </c>
      <c r="E19" s="31">
        <f>'[1]Free Cash Flow'!D5</f>
        <v>144939</v>
      </c>
      <c r="F19" s="31">
        <f>'[1]Free Cash Flow'!E5</f>
        <v>170684</v>
      </c>
      <c r="G19" s="31">
        <f>'Free Cash Flow'!F5</f>
        <v>187541</v>
      </c>
      <c r="H19" s="31">
        <f>'Free Cash Flow'!G5</f>
        <v>206296</v>
      </c>
      <c r="I19" s="31">
        <f>'Free Cash Flow'!H5</f>
        <v>224862</v>
      </c>
      <c r="J19" s="31">
        <f>'Free Cash Flow'!I5</f>
        <v>240602</v>
      </c>
      <c r="K19" s="31">
        <f>'Free Cash Flow'!J5</f>
        <v>252633</v>
      </c>
    </row>
    <row r="20" spans="1:11" x14ac:dyDescent="0.35">
      <c r="A20" s="16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 x14ac:dyDescent="0.35">
      <c r="A21" s="16"/>
      <c r="B21" s="24" t="s">
        <v>42</v>
      </c>
      <c r="C21" s="32">
        <f t="shared" ref="C21:F22" si="4">C4/C18*360</f>
        <v>4.2439396507882696</v>
      </c>
      <c r="D21" s="32">
        <f t="shared" si="4"/>
        <v>3.6187894147462725</v>
      </c>
      <c r="E21" s="32">
        <f t="shared" si="4"/>
        <v>3.3461061039451674</v>
      </c>
      <c r="F21" s="32">
        <f t="shared" si="4"/>
        <v>3.3128327098081449</v>
      </c>
      <c r="G21" s="32">
        <f>AVERAGE(C21:F21)</f>
        <v>3.6304169698219635</v>
      </c>
      <c r="H21" s="32">
        <f>G21</f>
        <v>3.6304169698219635</v>
      </c>
      <c r="I21" s="32">
        <f>H21</f>
        <v>3.6304169698219635</v>
      </c>
      <c r="J21" s="32">
        <f>I21</f>
        <v>3.6304169698219635</v>
      </c>
      <c r="K21" s="32">
        <f>J21</f>
        <v>3.6304169698219635</v>
      </c>
    </row>
    <row r="22" spans="1:11" x14ac:dyDescent="0.35">
      <c r="A22" s="16"/>
      <c r="B22" s="24" t="s">
        <v>43</v>
      </c>
      <c r="C22" s="32">
        <f t="shared" si="4"/>
        <v>32.272313888527997</v>
      </c>
      <c r="D22" s="32">
        <f t="shared" si="4"/>
        <v>30.870069081769337</v>
      </c>
      <c r="E22" s="32">
        <f t="shared" si="4"/>
        <v>30.406722828224286</v>
      </c>
      <c r="F22" s="32">
        <f t="shared" si="4"/>
        <v>29.981720606500904</v>
      </c>
      <c r="G22" s="32">
        <f>AVERAGE(C22:F22)</f>
        <v>30.882706601255631</v>
      </c>
      <c r="H22" s="32">
        <f t="shared" ref="H22:K23" si="5">G22</f>
        <v>30.882706601255631</v>
      </c>
      <c r="I22" s="32">
        <f t="shared" si="5"/>
        <v>30.882706601255631</v>
      </c>
      <c r="J22" s="32">
        <f t="shared" si="5"/>
        <v>30.882706601255631</v>
      </c>
      <c r="K22" s="32">
        <f t="shared" si="5"/>
        <v>30.882706601255631</v>
      </c>
    </row>
    <row r="23" spans="1:11" x14ac:dyDescent="0.35">
      <c r="A23" s="16"/>
      <c r="B23" s="24" t="s">
        <v>44</v>
      </c>
      <c r="C23" s="32">
        <f>C9/C19*360</f>
        <v>32.848187605560611</v>
      </c>
      <c r="D23" s="32">
        <f>D9/D19*360</f>
        <v>31.639450355944192</v>
      </c>
      <c r="E23" s="32">
        <f>E9/E19*360</f>
        <v>35.200463643325811</v>
      </c>
      <c r="F23" s="32">
        <f>F9/F19*360</f>
        <v>34.332919312882282</v>
      </c>
      <c r="G23" s="32">
        <f>AVERAGE(C23:F23)</f>
        <v>33.505255229428229</v>
      </c>
      <c r="H23" s="32">
        <f t="shared" si="5"/>
        <v>33.505255229428229</v>
      </c>
      <c r="I23" s="32">
        <f t="shared" si="5"/>
        <v>33.505255229428229</v>
      </c>
      <c r="J23" s="32">
        <f t="shared" si="5"/>
        <v>33.505255229428229</v>
      </c>
      <c r="K23" s="32">
        <f t="shared" si="5"/>
        <v>33.505255229428229</v>
      </c>
    </row>
    <row r="24" spans="1:11" x14ac:dyDescent="0.35">
      <c r="A24" s="16"/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 x14ac:dyDescent="0.35">
      <c r="A25" s="16"/>
      <c r="B25" s="24" t="s">
        <v>45</v>
      </c>
      <c r="C25" s="25">
        <f>C6/C$18</f>
        <v>2.2673334463468382E-3</v>
      </c>
      <c r="D25" s="25">
        <f>D6/D$18</f>
        <v>7.2755610564298016E-3</v>
      </c>
      <c r="E25" s="25">
        <f>E6/E$18</f>
        <v>6.1345278572328063E-3</v>
      </c>
      <c r="F25" s="25">
        <f>F6/F$18</f>
        <v>6.6963032527088892E-3</v>
      </c>
      <c r="G25" s="25">
        <f>AVERAGE(C25:F25)</f>
        <v>5.5934314031795837E-3</v>
      </c>
      <c r="H25" s="25">
        <f>G25</f>
        <v>5.5934314031795837E-3</v>
      </c>
      <c r="I25" s="25">
        <f>H25</f>
        <v>5.5934314031795837E-3</v>
      </c>
      <c r="J25" s="25">
        <f>I25</f>
        <v>5.5934314031795837E-3</v>
      </c>
      <c r="K25" s="25">
        <f>J25</f>
        <v>5.5934314031795837E-3</v>
      </c>
    </row>
    <row r="26" spans="1:11" x14ac:dyDescent="0.35">
      <c r="A26" s="16"/>
      <c r="B26" s="24" t="s">
        <v>46</v>
      </c>
      <c r="C26" s="25">
        <f>C10/C$18</f>
        <v>2.1147652144431258E-2</v>
      </c>
      <c r="D26" s="25">
        <f>D10/D$18</f>
        <v>2.0798543578056751E-2</v>
      </c>
      <c r="E26" s="25">
        <f>E10/E$18</f>
        <v>2.1617764345380514E-2</v>
      </c>
      <c r="F26" s="25">
        <f>F10/F$18</f>
        <v>2.0874908767972072E-2</v>
      </c>
      <c r="G26" s="25">
        <f>AVERAGE(C26:F26)</f>
        <v>2.1109717208960148E-2</v>
      </c>
      <c r="H26" s="25">
        <f t="shared" ref="H26:K29" si="6">G26</f>
        <v>2.1109717208960148E-2</v>
      </c>
      <c r="I26" s="25">
        <f t="shared" si="6"/>
        <v>2.1109717208960148E-2</v>
      </c>
      <c r="J26" s="25">
        <f t="shared" si="6"/>
        <v>2.1109717208960148E-2</v>
      </c>
      <c r="K26" s="25">
        <f t="shared" si="6"/>
        <v>2.1109717208960148E-2</v>
      </c>
    </row>
    <row r="27" spans="1:11" x14ac:dyDescent="0.35">
      <c r="A27" s="16"/>
      <c r="B27" s="24" t="s">
        <v>47</v>
      </c>
      <c r="C27" s="25">
        <f t="shared" ref="C27:F29" si="7">C11/C$18</f>
        <v>7.4659546815844489E-3</v>
      </c>
      <c r="D27" s="25">
        <f t="shared" si="7"/>
        <v>7.7274185837868277E-3</v>
      </c>
      <c r="E27" s="25">
        <f t="shared" si="7"/>
        <v>8.3532720480208201E-3</v>
      </c>
      <c r="F27" s="25">
        <f t="shared" si="7"/>
        <v>8.5285996457900564E-3</v>
      </c>
      <c r="G27" s="25">
        <f>AVERAGE(C27:F27)</f>
        <v>8.0188112397955383E-3</v>
      </c>
      <c r="H27" s="25">
        <f t="shared" si="6"/>
        <v>8.0188112397955383E-3</v>
      </c>
      <c r="I27" s="25">
        <f t="shared" si="6"/>
        <v>8.0188112397955383E-3</v>
      </c>
      <c r="J27" s="25">
        <f t="shared" si="6"/>
        <v>8.0188112397955383E-3</v>
      </c>
      <c r="K27" s="25">
        <f t="shared" si="6"/>
        <v>8.0188112397955383E-3</v>
      </c>
    </row>
    <row r="28" spans="1:11" x14ac:dyDescent="0.35">
      <c r="A28" s="16"/>
      <c r="B28" s="24" t="s">
        <v>48</v>
      </c>
      <c r="C28" s="25">
        <f t="shared" si="7"/>
        <v>1.1470870769056903E-2</v>
      </c>
      <c r="D28" s="25">
        <f t="shared" si="7"/>
        <v>1.1204756946490901E-2</v>
      </c>
      <c r="E28" s="25">
        <f t="shared" si="7"/>
        <v>1.1099717559861118E-2</v>
      </c>
      <c r="F28" s="25">
        <f t="shared" si="7"/>
        <v>1.0422142714963074E-2</v>
      </c>
      <c r="G28" s="25">
        <f>AVERAGE(C28:F28)</f>
        <v>1.1049371997593E-2</v>
      </c>
      <c r="H28" s="25">
        <f t="shared" si="6"/>
        <v>1.1049371997593E-2</v>
      </c>
      <c r="I28" s="25">
        <f t="shared" si="6"/>
        <v>1.1049371997593E-2</v>
      </c>
      <c r="J28" s="25">
        <f t="shared" si="6"/>
        <v>1.1049371997593E-2</v>
      </c>
      <c r="K28" s="25">
        <f t="shared" si="6"/>
        <v>1.1049371997593E-2</v>
      </c>
    </row>
    <row r="29" spans="1:11" x14ac:dyDescent="0.35">
      <c r="A29" s="16"/>
      <c r="B29" s="24" t="s">
        <v>49</v>
      </c>
      <c r="C29" s="25">
        <f t="shared" si="7"/>
        <v>2.0653218059558116E-2</v>
      </c>
      <c r="D29" s="25">
        <f t="shared" si="7"/>
        <v>2.4832518025186146E-2</v>
      </c>
      <c r="E29" s="25">
        <f t="shared" si="7"/>
        <v>2.2355346873669503E-2</v>
      </c>
      <c r="F29" s="25">
        <f t="shared" si="7"/>
        <v>2.3278840804577167E-2</v>
      </c>
      <c r="G29" s="25">
        <f>AVERAGE(C29:F29)</f>
        <v>2.2779980940747731E-2</v>
      </c>
      <c r="H29" s="25">
        <f t="shared" si="6"/>
        <v>2.2779980940747731E-2</v>
      </c>
      <c r="I29" s="25">
        <f t="shared" si="6"/>
        <v>2.2779980940747731E-2</v>
      </c>
      <c r="J29" s="25">
        <f t="shared" si="6"/>
        <v>2.2779980940747731E-2</v>
      </c>
      <c r="K29" s="25">
        <f t="shared" si="6"/>
        <v>2.2779980940747731E-2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0034-BFD3-4536-83BC-6317EEEB36AD}">
  <dimension ref="B1:K21"/>
  <sheetViews>
    <sheetView showGridLines="0" topLeftCell="A7" workbookViewId="0">
      <selection activeCell="H15" sqref="H15"/>
    </sheetView>
  </sheetViews>
  <sheetFormatPr defaultRowHeight="14.5" x14ac:dyDescent="0.35"/>
  <cols>
    <col min="2" max="2" width="17.1796875" customWidth="1"/>
    <col min="3" max="3" width="17.90625" customWidth="1"/>
  </cols>
  <sheetData>
    <row r="1" spans="2:11" x14ac:dyDescent="0.35"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2:11" x14ac:dyDescent="0.35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</row>
    <row r="3" spans="2:11" x14ac:dyDescent="0.35">
      <c r="B3" s="18" t="s">
        <v>1</v>
      </c>
      <c r="C3" s="19"/>
      <c r="D3" s="19">
        <v>43830</v>
      </c>
      <c r="E3" s="19">
        <v>44196</v>
      </c>
      <c r="F3" s="19">
        <v>44561</v>
      </c>
      <c r="G3" s="20">
        <v>44926</v>
      </c>
      <c r="H3" s="20">
        <v>45291</v>
      </c>
      <c r="I3" s="20">
        <v>45657</v>
      </c>
      <c r="J3" s="20">
        <v>46022</v>
      </c>
      <c r="K3" s="20">
        <v>46387</v>
      </c>
    </row>
    <row r="4" spans="2:11" x14ac:dyDescent="0.35">
      <c r="B4" s="21" t="s">
        <v>19</v>
      </c>
      <c r="C4" s="28"/>
      <c r="D4" s="28">
        <f>'Free Cash Flow'!C21</f>
        <v>3158</v>
      </c>
      <c r="E4" s="28">
        <f>'Free Cash Flow'!D21</f>
        <v>2859</v>
      </c>
      <c r="F4" s="28">
        <f>'Free Cash Flow'!E21</f>
        <v>4698</v>
      </c>
      <c r="G4" s="28">
        <f>'Free Cash Flow'!F21</f>
        <v>3889.9251896885658</v>
      </c>
      <c r="H4" s="28">
        <f>'Free Cash Flow'!G21</f>
        <v>5255.9538590028333</v>
      </c>
      <c r="I4" s="28">
        <f>'Free Cash Flow'!H21</f>
        <v>5673.7053655298841</v>
      </c>
      <c r="J4" s="28">
        <f>'Free Cash Flow'!I21</f>
        <v>5799.32250752663</v>
      </c>
      <c r="K4" s="28">
        <f>'Free Cash Flow'!J21</f>
        <v>5703.8862445927707</v>
      </c>
    </row>
    <row r="5" spans="2:11" x14ac:dyDescent="0.35"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2:11" x14ac:dyDescent="0.35">
      <c r="B6" s="21" t="s">
        <v>50</v>
      </c>
      <c r="C6" s="16"/>
      <c r="D6" s="16"/>
      <c r="E6" s="16"/>
      <c r="F6" s="16"/>
      <c r="G6" s="21">
        <v>1</v>
      </c>
      <c r="H6" s="21">
        <v>2</v>
      </c>
      <c r="I6" s="21">
        <v>3</v>
      </c>
      <c r="J6" s="21">
        <v>4</v>
      </c>
      <c r="K6" s="21">
        <v>5</v>
      </c>
    </row>
    <row r="7" spans="2:11" x14ac:dyDescent="0.35">
      <c r="B7" s="29" t="s">
        <v>51</v>
      </c>
      <c r="C7" s="29"/>
      <c r="D7" s="29"/>
      <c r="E7" s="29"/>
      <c r="F7" s="29"/>
      <c r="G7" s="30">
        <f>G4/(1++$C$12)^G6</f>
        <v>3661.6137734027161</v>
      </c>
      <c r="H7" s="30">
        <f>H4/(1++$C$12)^H6</f>
        <v>4657.0844334346612</v>
      </c>
      <c r="I7" s="30">
        <f>I4/(1++$C$12)^I6</f>
        <v>4732.1731924145888</v>
      </c>
      <c r="J7" s="30">
        <f>J4/(1++$C$12)^J6</f>
        <v>4553.0497601941552</v>
      </c>
      <c r="K7" s="30">
        <f>K4/(1++$C$12)^K6</f>
        <v>4215.2882231406948</v>
      </c>
    </row>
    <row r="8" spans="2:11" x14ac:dyDescent="0.35"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2:11" x14ac:dyDescent="0.35">
      <c r="B9" s="53" t="s">
        <v>52</v>
      </c>
      <c r="C9" s="54"/>
      <c r="D9" s="16"/>
      <c r="E9" s="53" t="s">
        <v>53</v>
      </c>
      <c r="F9" s="54"/>
      <c r="G9" s="54"/>
      <c r="H9" s="54"/>
      <c r="I9" s="54"/>
      <c r="J9" s="54"/>
      <c r="K9" s="54"/>
    </row>
    <row r="10" spans="2:11" x14ac:dyDescent="0.35">
      <c r="B10" s="21" t="s">
        <v>54</v>
      </c>
      <c r="C10" s="28">
        <f>SUM(G7:K7)</f>
        <v>21819.209382586818</v>
      </c>
      <c r="D10" s="16"/>
      <c r="E10" s="16"/>
      <c r="F10" s="16"/>
      <c r="G10" s="16"/>
      <c r="H10" s="16"/>
      <c r="I10" s="16"/>
      <c r="J10" s="16"/>
      <c r="K10" s="16"/>
    </row>
    <row r="11" spans="2:11" x14ac:dyDescent="0.35">
      <c r="B11" s="21" t="s">
        <v>55</v>
      </c>
      <c r="C11" s="33">
        <v>0.03</v>
      </c>
      <c r="D11" s="16"/>
      <c r="E11" s="21"/>
      <c r="F11" s="21"/>
      <c r="G11" s="53" t="s">
        <v>55</v>
      </c>
      <c r="H11" s="54"/>
      <c r="I11" s="54"/>
      <c r="J11" s="54"/>
      <c r="K11" s="54"/>
    </row>
    <row r="12" spans="2:11" x14ac:dyDescent="0.35">
      <c r="B12" s="21" t="s">
        <v>56</v>
      </c>
      <c r="C12" s="36">
        <f>WACC!C18</f>
        <v>6.2352675736655094E-2</v>
      </c>
      <c r="D12" s="16"/>
      <c r="E12" s="21"/>
      <c r="F12" s="37">
        <f>C21</f>
        <v>358.44310320209979</v>
      </c>
      <c r="G12" s="38">
        <f>H12-0.5%</f>
        <v>1.9999999999999997E-2</v>
      </c>
      <c r="H12" s="38">
        <f>I12-0.5%</f>
        <v>2.4999999999999998E-2</v>
      </c>
      <c r="I12" s="38">
        <v>0.03</v>
      </c>
      <c r="J12" s="38">
        <f>I12+0.5%</f>
        <v>3.4999999999999996E-2</v>
      </c>
      <c r="K12" s="38">
        <f>J12+0.5%</f>
        <v>3.9999999999999994E-2</v>
      </c>
    </row>
    <row r="13" spans="2:11" ht="14.5" customHeight="1" x14ac:dyDescent="0.35">
      <c r="B13" s="21" t="s">
        <v>57</v>
      </c>
      <c r="C13" s="28">
        <f>K4*(1+C11)/(C12-C11)</f>
        <v>181592.48649947875</v>
      </c>
      <c r="D13" s="16"/>
      <c r="E13" s="55" t="s">
        <v>56</v>
      </c>
      <c r="F13" s="38">
        <f>F14-0.5%</f>
        <v>5.2352675736655099E-2</v>
      </c>
      <c r="G13" s="37">
        <f t="dataTable" ref="G13:K17" dt2D="1" dtr="1" r1="C11" r2="C12"/>
        <v>371.43325036336489</v>
      </c>
      <c r="H13" s="37">
        <v>430.57093601071034</v>
      </c>
      <c r="I13" s="37">
        <v>516.16526888189071</v>
      </c>
      <c r="J13" s="37">
        <v>651.0859040306924</v>
      </c>
      <c r="K13" s="37">
        <v>895.23035272819868</v>
      </c>
    </row>
    <row r="14" spans="2:11" x14ac:dyDescent="0.35">
      <c r="B14" s="21" t="s">
        <v>58</v>
      </c>
      <c r="C14" s="28">
        <f>C13/(1+C12)^K6</f>
        <v>134200.5497528534</v>
      </c>
      <c r="D14" s="28"/>
      <c r="E14" s="54"/>
      <c r="F14" s="38">
        <f>F15-0.5%</f>
        <v>5.7352675736655097E-2</v>
      </c>
      <c r="G14" s="37">
        <v>322.37040860634124</v>
      </c>
      <c r="H14" s="39">
        <v>364.8625079039299</v>
      </c>
      <c r="I14" s="39">
        <v>422.88950393582434</v>
      </c>
      <c r="J14" s="39">
        <v>506.87625383143114</v>
      </c>
      <c r="K14" s="37">
        <v>639.26288808504296</v>
      </c>
    </row>
    <row r="15" spans="2:11" x14ac:dyDescent="0.35">
      <c r="B15" s="21" t="s">
        <v>59</v>
      </c>
      <c r="C15" s="28">
        <f>C14 +C10</f>
        <v>156019.75913544022</v>
      </c>
      <c r="D15" s="16"/>
      <c r="E15" s="54"/>
      <c r="F15" s="38">
        <v>6.2352675736655094E-2</v>
      </c>
      <c r="G15" s="37">
        <v>284.89293705456697</v>
      </c>
      <c r="H15" s="39">
        <v>316.74533623106191</v>
      </c>
      <c r="I15" s="40">
        <v>358.44310320209979</v>
      </c>
      <c r="J15" s="39">
        <v>415.38536302367021</v>
      </c>
      <c r="K15" s="37">
        <v>497.80209422058186</v>
      </c>
    </row>
    <row r="16" spans="2:11" x14ac:dyDescent="0.35">
      <c r="B16" s="22" t="s">
        <v>60</v>
      </c>
      <c r="C16" s="28">
        <f>'Balance Sheet'!F4</f>
        <v>11258</v>
      </c>
      <c r="D16" s="16"/>
      <c r="E16" s="54"/>
      <c r="F16" s="38">
        <f>F15+0.5%</f>
        <v>6.7352675736655099E-2</v>
      </c>
      <c r="G16" s="37">
        <v>255.33094282629037</v>
      </c>
      <c r="H16" s="39">
        <v>279.98920322782868</v>
      </c>
      <c r="I16" s="39">
        <v>311.24893458566066</v>
      </c>
      <c r="J16" s="39">
        <v>352.17084400019502</v>
      </c>
      <c r="K16" s="37">
        <v>408.05359666404098</v>
      </c>
    </row>
    <row r="17" spans="2:11" x14ac:dyDescent="0.35">
      <c r="B17" s="22" t="s">
        <v>61</v>
      </c>
      <c r="C17" s="28">
        <f>WACC!C4</f>
        <v>7491</v>
      </c>
      <c r="D17" s="16"/>
      <c r="E17" s="54"/>
      <c r="F17" s="38">
        <f>F16+0.5%</f>
        <v>7.2352675736655103E-2</v>
      </c>
      <c r="G17" s="37">
        <v>231.4165201487763</v>
      </c>
      <c r="H17" s="37">
        <v>250.99529976980196</v>
      </c>
      <c r="I17" s="37">
        <v>275.19687577393324</v>
      </c>
      <c r="J17" s="37">
        <v>305.87765990086632</v>
      </c>
      <c r="K17" s="37">
        <v>346.0416732904016</v>
      </c>
    </row>
    <row r="18" spans="2:11" x14ac:dyDescent="0.35">
      <c r="B18" s="22" t="s">
        <v>62</v>
      </c>
      <c r="C18" s="42">
        <f>'Balance Sheet'!F35</f>
        <v>514</v>
      </c>
      <c r="D18" s="16"/>
      <c r="E18" s="16"/>
      <c r="F18" s="16"/>
      <c r="G18" s="16"/>
      <c r="H18" s="16"/>
      <c r="I18" s="16"/>
      <c r="J18" s="16"/>
      <c r="K18" s="16"/>
    </row>
    <row r="19" spans="2:11" x14ac:dyDescent="0.35">
      <c r="B19" s="41" t="s">
        <v>63</v>
      </c>
      <c r="C19" s="52">
        <f>C15+C16-C17-C18</f>
        <v>159272.75913544022</v>
      </c>
      <c r="D19" s="16"/>
      <c r="E19" s="16"/>
      <c r="F19" s="16"/>
      <c r="G19" s="16"/>
      <c r="H19" s="16"/>
      <c r="I19" s="16"/>
      <c r="J19" s="16"/>
      <c r="K19" s="16"/>
    </row>
    <row r="20" spans="2:11" x14ac:dyDescent="0.35">
      <c r="B20" s="21" t="s">
        <v>64</v>
      </c>
      <c r="C20" s="35">
        <v>444.346</v>
      </c>
      <c r="D20" s="16"/>
      <c r="E20" s="16"/>
      <c r="F20" s="16"/>
      <c r="G20" s="16"/>
      <c r="H20" s="16"/>
      <c r="I20" s="16"/>
      <c r="J20" s="16"/>
      <c r="K20" s="16"/>
    </row>
    <row r="21" spans="2:11" x14ac:dyDescent="0.35">
      <c r="B21" s="23" t="s">
        <v>65</v>
      </c>
      <c r="C21" s="43">
        <f>C19/C20</f>
        <v>358.44310320209979</v>
      </c>
      <c r="D21" s="16"/>
      <c r="E21" s="16"/>
      <c r="F21" s="16"/>
      <c r="G21" s="16"/>
      <c r="H21" s="16"/>
      <c r="I21" s="16"/>
      <c r="J21" s="16"/>
      <c r="K21" s="16"/>
    </row>
  </sheetData>
  <mergeCells count="4">
    <mergeCell ref="B9:C9"/>
    <mergeCell ref="E9:K9"/>
    <mergeCell ref="G11:K11"/>
    <mergeCell ref="E13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39C4-AFAA-4614-943B-06EAD19ECA4F}">
  <dimension ref="B2:C18"/>
  <sheetViews>
    <sheetView showGridLines="0" workbookViewId="0">
      <selection activeCell="C7" sqref="C7"/>
    </sheetView>
  </sheetViews>
  <sheetFormatPr defaultRowHeight="14.5" x14ac:dyDescent="0.35"/>
  <cols>
    <col min="1" max="1" width="8.81640625" customWidth="1"/>
    <col min="2" max="2" width="37.08984375" customWidth="1"/>
    <col min="3" max="3" width="8.81640625" customWidth="1"/>
  </cols>
  <sheetData>
    <row r="2" spans="2:3" x14ac:dyDescent="0.35">
      <c r="B2" s="56" t="s">
        <v>66</v>
      </c>
      <c r="C2" s="54"/>
    </row>
    <row r="3" spans="2:3" x14ac:dyDescent="0.35">
      <c r="B3" s="16" t="s">
        <v>67</v>
      </c>
      <c r="C3" s="44">
        <v>214560</v>
      </c>
    </row>
    <row r="4" spans="2:3" x14ac:dyDescent="0.35">
      <c r="B4" s="16" t="s">
        <v>68</v>
      </c>
      <c r="C4" s="26">
        <f>SUM('[1]Balance Sheet'!F20,'[1]Balance Sheet'!F24)</f>
        <v>7491</v>
      </c>
    </row>
    <row r="5" spans="2:3" x14ac:dyDescent="0.35">
      <c r="B5" s="16"/>
      <c r="C5" s="16"/>
    </row>
    <row r="6" spans="2:3" x14ac:dyDescent="0.35">
      <c r="B6" s="16" t="s">
        <v>69</v>
      </c>
      <c r="C6" s="34">
        <f>-'Income Statement'!E13/WACC!C4</f>
        <v>2.2827392871445733E-2</v>
      </c>
    </row>
    <row r="7" spans="2:3" x14ac:dyDescent="0.35">
      <c r="B7" s="16" t="s">
        <v>70</v>
      </c>
      <c r="C7" s="45">
        <v>0.21</v>
      </c>
    </row>
    <row r="8" spans="2:3" x14ac:dyDescent="0.35">
      <c r="B8" s="16" t="s">
        <v>71</v>
      </c>
      <c r="C8" s="34">
        <f>C4/SUM(C3:C4)</f>
        <v>3.3735493197508681E-2</v>
      </c>
    </row>
    <row r="9" spans="2:3" x14ac:dyDescent="0.35">
      <c r="B9" s="27" t="s">
        <v>72</v>
      </c>
      <c r="C9" s="46">
        <f>C6*(1-C7)</f>
        <v>1.8033640368442131E-2</v>
      </c>
    </row>
    <row r="10" spans="2:3" x14ac:dyDescent="0.35">
      <c r="B10" s="9"/>
      <c r="C10" s="47"/>
    </row>
    <row r="11" spans="2:3" x14ac:dyDescent="0.35">
      <c r="B11" s="16" t="s">
        <v>73</v>
      </c>
      <c r="C11" s="45">
        <v>3.1E-2</v>
      </c>
    </row>
    <row r="12" spans="2:3" x14ac:dyDescent="0.35">
      <c r="B12" s="16" t="s">
        <v>74</v>
      </c>
      <c r="C12" s="45">
        <v>7.8E-2</v>
      </c>
    </row>
    <row r="13" spans="2:3" x14ac:dyDescent="0.35">
      <c r="B13" s="16" t="s">
        <v>75</v>
      </c>
      <c r="C13" s="34">
        <f>C12-C11</f>
        <v>4.7E-2</v>
      </c>
    </row>
    <row r="14" spans="2:3" x14ac:dyDescent="0.35">
      <c r="B14" s="16" t="s">
        <v>76</v>
      </c>
      <c r="C14" s="48">
        <v>0.7</v>
      </c>
    </row>
    <row r="15" spans="2:3" x14ac:dyDescent="0.35">
      <c r="B15" s="16" t="s">
        <v>77</v>
      </c>
      <c r="C15" s="34">
        <f>C3/SUM(C3:C4)</f>
        <v>0.96626450680249132</v>
      </c>
    </row>
    <row r="16" spans="2:3" x14ac:dyDescent="0.35">
      <c r="B16" s="27" t="s">
        <v>78</v>
      </c>
      <c r="C16" s="46">
        <f>C11+C14*(C13)</f>
        <v>6.3899999999999998E-2</v>
      </c>
    </row>
    <row r="17" spans="2:3" x14ac:dyDescent="0.35">
      <c r="B17" s="16"/>
      <c r="C17" s="16"/>
    </row>
    <row r="18" spans="2:3" x14ac:dyDescent="0.35">
      <c r="B18" s="12" t="s">
        <v>56</v>
      </c>
      <c r="C18" s="49">
        <f>C9*C8+C16*C15</f>
        <v>6.2352675736655094E-2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389A-81BA-401D-A037-FD337CB3B65B}">
  <dimension ref="B2:E22"/>
  <sheetViews>
    <sheetView workbookViewId="0">
      <selection activeCell="B6" sqref="B6"/>
    </sheetView>
  </sheetViews>
  <sheetFormatPr defaultRowHeight="14.5" x14ac:dyDescent="0.35"/>
  <cols>
    <col min="1" max="1" width="8.81640625" customWidth="1"/>
    <col min="2" max="2" width="69.453125" customWidth="1"/>
    <col min="3" max="5" width="15.453125" customWidth="1"/>
  </cols>
  <sheetData>
    <row r="2" spans="2:5" x14ac:dyDescent="0.35">
      <c r="B2" s="5" t="s">
        <v>79</v>
      </c>
    </row>
    <row r="3" spans="2:5" x14ac:dyDescent="0.35">
      <c r="C3" s="50" t="s">
        <v>80</v>
      </c>
      <c r="D3" s="50" t="s">
        <v>81</v>
      </c>
      <c r="E3" s="50" t="s">
        <v>82</v>
      </c>
    </row>
    <row r="4" spans="2:5" x14ac:dyDescent="0.35">
      <c r="B4" s="5" t="s">
        <v>83</v>
      </c>
    </row>
    <row r="5" spans="2:5" x14ac:dyDescent="0.35">
      <c r="B5" s="5" t="s">
        <v>84</v>
      </c>
      <c r="C5" s="51">
        <v>152703</v>
      </c>
      <c r="D5" s="51">
        <v>166761</v>
      </c>
      <c r="E5" s="51">
        <v>195929</v>
      </c>
    </row>
    <row r="6" spans="2:5" x14ac:dyDescent="0.35">
      <c r="B6" s="5" t="s">
        <v>85</v>
      </c>
    </row>
    <row r="7" spans="2:5" x14ac:dyDescent="0.35">
      <c r="B7" s="5" t="s">
        <v>86</v>
      </c>
      <c r="C7" s="26">
        <v>132886</v>
      </c>
      <c r="D7" s="26">
        <v>144939</v>
      </c>
      <c r="E7" s="26">
        <v>170684</v>
      </c>
    </row>
    <row r="8" spans="2:5" x14ac:dyDescent="0.35">
      <c r="B8" s="5" t="s">
        <v>87</v>
      </c>
      <c r="C8" s="26">
        <v>13502</v>
      </c>
      <c r="D8" s="26">
        <v>14687</v>
      </c>
      <c r="E8" s="26">
        <v>16680</v>
      </c>
    </row>
    <row r="9" spans="2:5" x14ac:dyDescent="0.35">
      <c r="B9" s="5" t="s">
        <v>9</v>
      </c>
      <c r="C9" s="26">
        <v>1492</v>
      </c>
      <c r="D9" s="26">
        <v>1645</v>
      </c>
      <c r="E9" s="26">
        <v>1781</v>
      </c>
    </row>
    <row r="10" spans="2:5" x14ac:dyDescent="0.35">
      <c r="B10" s="5" t="s">
        <v>88</v>
      </c>
      <c r="C10" s="26">
        <v>86</v>
      </c>
      <c r="D10" s="26">
        <v>55</v>
      </c>
      <c r="E10" s="26">
        <v>76</v>
      </c>
    </row>
    <row r="11" spans="2:5" x14ac:dyDescent="0.35">
      <c r="B11" s="5" t="s">
        <v>89</v>
      </c>
      <c r="C11" s="26">
        <v>4737</v>
      </c>
      <c r="D11" s="26">
        <v>5435</v>
      </c>
      <c r="E11" s="26">
        <v>6708</v>
      </c>
    </row>
    <row r="12" spans="2:5" x14ac:dyDescent="0.35">
      <c r="B12" s="5" t="s">
        <v>90</v>
      </c>
      <c r="C12" s="26"/>
      <c r="D12" s="26"/>
      <c r="E12" s="26"/>
    </row>
    <row r="13" spans="2:5" x14ac:dyDescent="0.35">
      <c r="B13" s="5" t="s">
        <v>91</v>
      </c>
      <c r="C13" s="26">
        <v>-150</v>
      </c>
      <c r="D13" s="26">
        <v>-160</v>
      </c>
      <c r="E13" s="26">
        <v>-171</v>
      </c>
    </row>
    <row r="14" spans="2:5" x14ac:dyDescent="0.35">
      <c r="B14" s="5" t="s">
        <v>92</v>
      </c>
      <c r="C14" s="26">
        <v>178</v>
      </c>
      <c r="D14" s="26">
        <v>92</v>
      </c>
      <c r="E14" s="26">
        <v>143</v>
      </c>
    </row>
    <row r="15" spans="2:5" x14ac:dyDescent="0.35">
      <c r="B15" s="5" t="s">
        <v>93</v>
      </c>
      <c r="C15" s="26">
        <v>4765</v>
      </c>
      <c r="D15" s="26">
        <v>5367</v>
      </c>
      <c r="E15" s="26">
        <v>6680</v>
      </c>
    </row>
    <row r="16" spans="2:5" x14ac:dyDescent="0.35">
      <c r="B16" s="5" t="s">
        <v>94</v>
      </c>
      <c r="C16" s="26">
        <v>1061</v>
      </c>
      <c r="D16" s="26">
        <v>1308</v>
      </c>
      <c r="E16" s="26">
        <v>1601</v>
      </c>
    </row>
    <row r="17" spans="2:5" x14ac:dyDescent="0.35">
      <c r="B17" s="5" t="s">
        <v>95</v>
      </c>
      <c r="C17" s="26">
        <v>3704</v>
      </c>
      <c r="D17" s="26">
        <v>4059</v>
      </c>
      <c r="E17" s="26">
        <v>5079</v>
      </c>
    </row>
    <row r="18" spans="2:5" x14ac:dyDescent="0.35">
      <c r="C18" s="26"/>
      <c r="D18" s="26"/>
      <c r="E18" s="26"/>
    </row>
    <row r="19" spans="2:5" x14ac:dyDescent="0.35">
      <c r="B19" s="5" t="s">
        <v>96</v>
      </c>
      <c r="C19" s="26">
        <v>442923</v>
      </c>
      <c r="D19" s="26">
        <v>443901</v>
      </c>
      <c r="E19" s="26">
        <v>444346</v>
      </c>
    </row>
    <row r="20" spans="2:5" x14ac:dyDescent="0.35">
      <c r="C20" s="26"/>
      <c r="D20" s="26"/>
      <c r="E20" s="26"/>
    </row>
    <row r="21" spans="2:5" x14ac:dyDescent="0.35">
      <c r="B21" s="5" t="s">
        <v>97</v>
      </c>
      <c r="C21" s="26">
        <v>149351</v>
      </c>
      <c r="D21" s="26">
        <v>163220</v>
      </c>
      <c r="E21" s="26">
        <v>192052</v>
      </c>
    </row>
    <row r="22" spans="2:5" x14ac:dyDescent="0.35">
      <c r="B22" s="5" t="s">
        <v>98</v>
      </c>
      <c r="C22" s="26">
        <v>3352</v>
      </c>
      <c r="D22" s="26">
        <v>3541</v>
      </c>
      <c r="E22" s="26">
        <v>3877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9CDF-80CD-4D48-A974-CFCD5C759808}">
  <dimension ref="B2:F37"/>
  <sheetViews>
    <sheetView topLeftCell="B13" workbookViewId="0">
      <selection activeCell="F36" sqref="F36"/>
    </sheetView>
  </sheetViews>
  <sheetFormatPr defaultRowHeight="14.5" x14ac:dyDescent="0.35"/>
  <cols>
    <col min="1" max="1" width="8.81640625" customWidth="1"/>
    <col min="2" max="2" width="104.81640625" customWidth="1"/>
    <col min="3" max="5" width="11.81640625" customWidth="1"/>
    <col min="6" max="6" width="11.54296875" customWidth="1"/>
  </cols>
  <sheetData>
    <row r="2" spans="2:6" x14ac:dyDescent="0.35">
      <c r="B2" s="5" t="s">
        <v>99</v>
      </c>
      <c r="C2" s="5" t="s">
        <v>100</v>
      </c>
      <c r="D2" s="5" t="s">
        <v>80</v>
      </c>
      <c r="E2" s="5" t="s">
        <v>81</v>
      </c>
      <c r="F2" s="5" t="s">
        <v>82</v>
      </c>
    </row>
    <row r="3" spans="2:6" x14ac:dyDescent="0.35">
      <c r="B3" s="5" t="s">
        <v>101</v>
      </c>
    </row>
    <row r="4" spans="2:6" x14ac:dyDescent="0.35">
      <c r="B4" s="5" t="s">
        <v>102</v>
      </c>
      <c r="C4" s="26">
        <v>6055</v>
      </c>
      <c r="D4" s="26">
        <v>8384</v>
      </c>
      <c r="E4" s="26">
        <v>12277</v>
      </c>
      <c r="F4" s="26">
        <v>11258</v>
      </c>
    </row>
    <row r="5" spans="2:6" x14ac:dyDescent="0.35">
      <c r="B5" s="5" t="s">
        <v>103</v>
      </c>
      <c r="C5" s="26">
        <v>1204</v>
      </c>
      <c r="D5" s="26">
        <v>1060</v>
      </c>
      <c r="E5" s="26">
        <v>1028</v>
      </c>
      <c r="F5" s="26">
        <v>917</v>
      </c>
    </row>
    <row r="6" spans="2:6" x14ac:dyDescent="0.35">
      <c r="B6" s="5" t="s">
        <v>104</v>
      </c>
      <c r="C6" s="26">
        <v>1669</v>
      </c>
      <c r="D6" s="26">
        <v>1535</v>
      </c>
      <c r="E6" s="26">
        <v>1550</v>
      </c>
      <c r="F6" s="26">
        <v>1803</v>
      </c>
    </row>
    <row r="7" spans="2:6" x14ac:dyDescent="0.35">
      <c r="B7" s="5" t="s">
        <v>105</v>
      </c>
      <c r="C7" s="26">
        <v>11040</v>
      </c>
      <c r="D7" s="26">
        <v>11395</v>
      </c>
      <c r="E7" s="26">
        <v>12242</v>
      </c>
      <c r="F7" s="26">
        <v>14215</v>
      </c>
    </row>
    <row r="8" spans="2:6" x14ac:dyDescent="0.35">
      <c r="B8" s="5" t="s">
        <v>106</v>
      </c>
      <c r="C8" s="26">
        <v>321</v>
      </c>
      <c r="D8" s="26">
        <v>1111</v>
      </c>
      <c r="E8" s="26">
        <v>1023</v>
      </c>
      <c r="F8" s="26">
        <v>1312</v>
      </c>
    </row>
    <row r="9" spans="2:6" x14ac:dyDescent="0.35">
      <c r="B9" s="5" t="s">
        <v>107</v>
      </c>
      <c r="C9" s="26">
        <v>20289</v>
      </c>
      <c r="D9" s="26">
        <v>23485</v>
      </c>
      <c r="E9" s="26">
        <v>28120</v>
      </c>
      <c r="F9" s="26">
        <v>29505</v>
      </c>
    </row>
    <row r="10" spans="2:6" x14ac:dyDescent="0.35">
      <c r="B10" s="5" t="s">
        <v>108</v>
      </c>
      <c r="C10" s="26"/>
      <c r="D10" s="26"/>
      <c r="E10" s="26"/>
      <c r="F10" s="26"/>
    </row>
    <row r="11" spans="2:6" x14ac:dyDescent="0.35">
      <c r="B11" s="5" t="s">
        <v>109</v>
      </c>
      <c r="C11" s="26">
        <v>19681</v>
      </c>
      <c r="D11" s="26">
        <v>20890</v>
      </c>
      <c r="E11" s="26">
        <v>21807</v>
      </c>
      <c r="F11" s="26">
        <v>23492</v>
      </c>
    </row>
    <row r="12" spans="2:6" x14ac:dyDescent="0.35">
      <c r="B12" s="5" t="s">
        <v>110</v>
      </c>
      <c r="C12" s="26"/>
      <c r="D12" s="26">
        <v>0</v>
      </c>
      <c r="E12" s="26">
        <v>2788</v>
      </c>
      <c r="F12" s="26">
        <v>2890</v>
      </c>
    </row>
    <row r="13" spans="2:6" x14ac:dyDescent="0.35">
      <c r="B13" s="5" t="s">
        <v>111</v>
      </c>
      <c r="C13" s="26">
        <v>860</v>
      </c>
      <c r="D13" s="26">
        <v>1025</v>
      </c>
      <c r="E13" s="26">
        <v>2841</v>
      </c>
      <c r="F13" s="26">
        <v>3381</v>
      </c>
    </row>
    <row r="14" spans="2:6" x14ac:dyDescent="0.35">
      <c r="B14" s="5" t="s">
        <v>112</v>
      </c>
      <c r="C14" s="26">
        <v>40830</v>
      </c>
      <c r="D14" s="26">
        <v>45400</v>
      </c>
      <c r="E14" s="26">
        <v>55556</v>
      </c>
      <c r="F14" s="26">
        <v>59268</v>
      </c>
    </row>
    <row r="15" spans="2:6" x14ac:dyDescent="0.35">
      <c r="B15" s="5" t="s">
        <v>113</v>
      </c>
      <c r="C15" s="26"/>
      <c r="D15" s="26"/>
      <c r="E15" s="26"/>
      <c r="F15" s="26"/>
    </row>
    <row r="16" spans="2:6" x14ac:dyDescent="0.35">
      <c r="B16" s="5" t="s">
        <v>114</v>
      </c>
      <c r="C16" s="26">
        <v>11237</v>
      </c>
      <c r="D16" s="26">
        <v>11679</v>
      </c>
      <c r="E16" s="26">
        <v>14172</v>
      </c>
      <c r="F16" s="26">
        <v>16278</v>
      </c>
    </row>
    <row r="17" spans="2:6" x14ac:dyDescent="0.35">
      <c r="B17" s="5" t="s">
        <v>115</v>
      </c>
      <c r="C17" s="26">
        <v>2994</v>
      </c>
      <c r="D17" s="26">
        <v>3176</v>
      </c>
      <c r="E17" s="26">
        <v>3605</v>
      </c>
      <c r="F17" s="26">
        <v>4090</v>
      </c>
    </row>
    <row r="18" spans="2:6" x14ac:dyDescent="0.35">
      <c r="B18" s="5" t="s">
        <v>116</v>
      </c>
      <c r="C18" s="26">
        <v>1057</v>
      </c>
      <c r="D18" s="26">
        <v>1180</v>
      </c>
      <c r="E18" s="26">
        <v>1393</v>
      </c>
      <c r="F18" s="26">
        <v>1671</v>
      </c>
    </row>
    <row r="19" spans="2:6" x14ac:dyDescent="0.35">
      <c r="B19" s="5" t="s">
        <v>117</v>
      </c>
      <c r="C19" s="26">
        <v>1624</v>
      </c>
      <c r="D19" s="26">
        <v>1711</v>
      </c>
      <c r="E19" s="26">
        <v>1851</v>
      </c>
      <c r="F19" s="26">
        <v>2042</v>
      </c>
    </row>
    <row r="20" spans="2:6" x14ac:dyDescent="0.35">
      <c r="B20" s="5" t="s">
        <v>118</v>
      </c>
      <c r="C20" s="26">
        <v>90</v>
      </c>
      <c r="D20" s="26">
        <v>1699</v>
      </c>
      <c r="E20" s="26">
        <v>95</v>
      </c>
      <c r="F20" s="26">
        <v>799</v>
      </c>
    </row>
    <row r="21" spans="2:6" x14ac:dyDescent="0.35">
      <c r="B21" s="5" t="s">
        <v>119</v>
      </c>
      <c r="C21" s="26">
        <v>2924</v>
      </c>
      <c r="D21" s="26">
        <v>3792</v>
      </c>
      <c r="E21" s="26">
        <v>3728</v>
      </c>
      <c r="F21" s="26">
        <v>4561</v>
      </c>
    </row>
    <row r="22" spans="2:6" x14ac:dyDescent="0.35">
      <c r="B22" s="5" t="s">
        <v>120</v>
      </c>
      <c r="C22" s="26">
        <v>19926</v>
      </c>
      <c r="D22" s="26">
        <v>23237</v>
      </c>
      <c r="E22" s="26">
        <v>24844</v>
      </c>
      <c r="F22" s="26">
        <v>29441</v>
      </c>
    </row>
    <row r="23" spans="2:6" x14ac:dyDescent="0.35">
      <c r="B23" s="5" t="s">
        <v>121</v>
      </c>
      <c r="C23" s="26"/>
      <c r="D23" s="26"/>
      <c r="E23" s="26"/>
      <c r="F23" s="26"/>
    </row>
    <row r="24" spans="2:6" x14ac:dyDescent="0.35">
      <c r="B24" s="5" t="s">
        <v>122</v>
      </c>
      <c r="C24" s="26">
        <v>6487</v>
      </c>
      <c r="D24" s="26">
        <v>5124</v>
      </c>
      <c r="E24" s="26">
        <v>7514</v>
      </c>
      <c r="F24" s="26">
        <v>6692</v>
      </c>
    </row>
    <row r="25" spans="2:6" x14ac:dyDescent="0.35">
      <c r="B25" s="5" t="s">
        <v>123</v>
      </c>
      <c r="C25" s="26"/>
      <c r="D25" s="26">
        <v>0</v>
      </c>
      <c r="E25" s="26">
        <v>2558</v>
      </c>
      <c r="F25" s="26">
        <v>2642</v>
      </c>
    </row>
    <row r="26" spans="2:6" x14ac:dyDescent="0.35">
      <c r="B26" s="5" t="s">
        <v>124</v>
      </c>
      <c r="C26" s="26">
        <v>1314</v>
      </c>
      <c r="D26" s="26">
        <v>1455</v>
      </c>
      <c r="E26" s="26">
        <v>1935</v>
      </c>
      <c r="F26" s="26">
        <v>2415</v>
      </c>
    </row>
    <row r="27" spans="2:6" x14ac:dyDescent="0.35">
      <c r="B27" s="5" t="s">
        <v>125</v>
      </c>
      <c r="C27" s="26">
        <v>27727</v>
      </c>
      <c r="D27" s="26">
        <v>29816</v>
      </c>
      <c r="E27" s="26">
        <v>36851</v>
      </c>
      <c r="F27" s="26">
        <v>41190</v>
      </c>
    </row>
    <row r="28" spans="2:6" x14ac:dyDescent="0.35">
      <c r="B28" s="5" t="s">
        <v>126</v>
      </c>
      <c r="C28" s="26"/>
      <c r="D28" s="26"/>
      <c r="E28" s="26"/>
      <c r="F28" s="26"/>
    </row>
    <row r="29" spans="2:6" x14ac:dyDescent="0.35">
      <c r="B29" s="5" t="s">
        <v>127</v>
      </c>
      <c r="C29" s="26">
        <v>0</v>
      </c>
      <c r="D29" s="26">
        <v>0</v>
      </c>
      <c r="E29" s="26">
        <v>0</v>
      </c>
      <c r="F29" s="26">
        <v>0</v>
      </c>
    </row>
    <row r="30" spans="2:6" x14ac:dyDescent="0.35">
      <c r="B30" s="5" t="s">
        <v>128</v>
      </c>
      <c r="C30" s="26">
        <v>4</v>
      </c>
      <c r="D30" s="26">
        <v>4</v>
      </c>
      <c r="E30" s="26">
        <v>4</v>
      </c>
      <c r="F30" s="26">
        <v>4</v>
      </c>
    </row>
    <row r="31" spans="2:6" x14ac:dyDescent="0.35">
      <c r="B31" s="5" t="s">
        <v>129</v>
      </c>
      <c r="C31" s="26">
        <v>6107</v>
      </c>
      <c r="D31" s="26">
        <v>6417</v>
      </c>
      <c r="E31" s="26">
        <v>6698</v>
      </c>
      <c r="F31" s="26">
        <v>7031</v>
      </c>
    </row>
    <row r="32" spans="2:6" x14ac:dyDescent="0.35">
      <c r="B32" s="5" t="s">
        <v>130</v>
      </c>
      <c r="C32" s="26">
        <v>-1199</v>
      </c>
      <c r="D32" s="26">
        <v>-1436</v>
      </c>
      <c r="E32" s="26">
        <v>-1297</v>
      </c>
      <c r="F32" s="26">
        <v>-1137</v>
      </c>
    </row>
    <row r="33" spans="2:6" x14ac:dyDescent="0.35">
      <c r="B33" s="5" t="s">
        <v>131</v>
      </c>
      <c r="C33" s="26">
        <v>7887</v>
      </c>
      <c r="D33" s="26">
        <v>10258</v>
      </c>
      <c r="E33" s="26">
        <v>12879</v>
      </c>
      <c r="F33" s="26">
        <v>11666</v>
      </c>
    </row>
    <row r="34" spans="2:6" x14ac:dyDescent="0.35">
      <c r="B34" s="5" t="s">
        <v>132</v>
      </c>
      <c r="C34" s="26">
        <v>12799</v>
      </c>
      <c r="D34" s="26">
        <v>15243</v>
      </c>
      <c r="E34" s="26">
        <v>18284</v>
      </c>
      <c r="F34" s="26">
        <v>17564</v>
      </c>
    </row>
    <row r="35" spans="2:6" x14ac:dyDescent="0.35">
      <c r="B35" s="5" t="s">
        <v>133</v>
      </c>
      <c r="C35" s="26">
        <v>304</v>
      </c>
      <c r="D35" s="26">
        <v>341</v>
      </c>
      <c r="E35" s="26">
        <v>421</v>
      </c>
      <c r="F35" s="26">
        <v>514</v>
      </c>
    </row>
    <row r="36" spans="2:6" x14ac:dyDescent="0.35">
      <c r="B36" s="5" t="s">
        <v>134</v>
      </c>
      <c r="C36" s="26">
        <v>13103</v>
      </c>
      <c r="D36" s="26">
        <v>15584</v>
      </c>
      <c r="E36" s="26">
        <v>18705</v>
      </c>
      <c r="F36" s="26">
        <v>18078</v>
      </c>
    </row>
    <row r="37" spans="2:6" x14ac:dyDescent="0.35">
      <c r="B37" s="5" t="s">
        <v>135</v>
      </c>
      <c r="C37" s="26">
        <v>40830</v>
      </c>
      <c r="D37" s="26">
        <v>45400</v>
      </c>
      <c r="E37" s="26">
        <v>55556</v>
      </c>
      <c r="F37" s="26">
        <v>59268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DE4F-E83E-4D25-A98C-BFFFB0AFAA9A}">
  <dimension ref="B2:E42"/>
  <sheetViews>
    <sheetView workbookViewId="0">
      <selection activeCell="B11" sqref="B11"/>
    </sheetView>
  </sheetViews>
  <sheetFormatPr defaultRowHeight="14.5" x14ac:dyDescent="0.35"/>
  <cols>
    <col min="1" max="1" width="8.81640625" customWidth="1"/>
    <col min="2" max="2" width="101.453125" customWidth="1"/>
    <col min="3" max="5" width="15.453125" customWidth="1"/>
  </cols>
  <sheetData>
    <row r="2" spans="2:5" x14ac:dyDescent="0.35">
      <c r="B2" s="5" t="s">
        <v>136</v>
      </c>
    </row>
    <row r="3" spans="2:5" x14ac:dyDescent="0.35">
      <c r="C3" s="5" t="s">
        <v>80</v>
      </c>
      <c r="D3" s="5" t="s">
        <v>81</v>
      </c>
      <c r="E3" s="5" t="s">
        <v>82</v>
      </c>
    </row>
    <row r="4" spans="2:5" x14ac:dyDescent="0.35">
      <c r="B4" s="5" t="s">
        <v>137</v>
      </c>
    </row>
    <row r="5" spans="2:5" x14ac:dyDescent="0.35">
      <c r="B5" s="5" t="s">
        <v>138</v>
      </c>
      <c r="C5" s="5">
        <v>3704</v>
      </c>
      <c r="D5" s="5">
        <v>4059</v>
      </c>
      <c r="E5" s="5">
        <v>5079</v>
      </c>
    </row>
    <row r="6" spans="2:5" x14ac:dyDescent="0.35">
      <c r="B6" s="5" t="s">
        <v>139</v>
      </c>
    </row>
    <row r="7" spans="2:5" x14ac:dyDescent="0.35">
      <c r="B7" s="5" t="s">
        <v>140</v>
      </c>
      <c r="C7" s="5">
        <v>1492</v>
      </c>
      <c r="D7" s="5">
        <v>1645</v>
      </c>
      <c r="E7" s="5">
        <v>1781</v>
      </c>
    </row>
    <row r="8" spans="2:5" x14ac:dyDescent="0.35">
      <c r="B8" s="5" t="s">
        <v>141</v>
      </c>
      <c r="C8" s="5">
        <v>0</v>
      </c>
      <c r="D8" s="5">
        <v>194</v>
      </c>
      <c r="E8" s="5">
        <v>286</v>
      </c>
    </row>
    <row r="9" spans="2:5" x14ac:dyDescent="0.35">
      <c r="B9" s="5" t="s">
        <v>142</v>
      </c>
      <c r="C9" s="5">
        <v>595</v>
      </c>
      <c r="D9" s="5">
        <v>619</v>
      </c>
      <c r="E9" s="5">
        <v>665</v>
      </c>
    </row>
    <row r="10" spans="2:5" x14ac:dyDescent="0.35">
      <c r="B10" s="5" t="s">
        <v>143</v>
      </c>
      <c r="C10" s="5">
        <v>9</v>
      </c>
      <c r="D10" s="5">
        <v>42</v>
      </c>
      <c r="E10" s="5">
        <v>85</v>
      </c>
    </row>
    <row r="11" spans="2:5" x14ac:dyDescent="0.35">
      <c r="B11" s="5" t="s">
        <v>144</v>
      </c>
      <c r="C11" s="5">
        <v>147</v>
      </c>
      <c r="D11" s="5">
        <v>104</v>
      </c>
      <c r="E11" s="5">
        <v>59</v>
      </c>
    </row>
    <row r="12" spans="2:5" x14ac:dyDescent="0.35">
      <c r="B12" s="5" t="s">
        <v>145</v>
      </c>
    </row>
    <row r="13" spans="2:5" x14ac:dyDescent="0.35">
      <c r="B13" s="5" t="s">
        <v>105</v>
      </c>
      <c r="C13" s="5">
        <v>-536</v>
      </c>
      <c r="D13" s="5">
        <v>-791</v>
      </c>
      <c r="E13" s="5">
        <v>-1892</v>
      </c>
    </row>
    <row r="14" spans="2:5" x14ac:dyDescent="0.35">
      <c r="B14" s="5" t="s">
        <v>114</v>
      </c>
      <c r="C14" s="5">
        <v>322</v>
      </c>
      <c r="D14" s="5">
        <v>2261</v>
      </c>
      <c r="E14" s="5">
        <v>1838</v>
      </c>
    </row>
    <row r="15" spans="2:5" x14ac:dyDescent="0.35">
      <c r="B15" s="5" t="s">
        <v>146</v>
      </c>
      <c r="C15" s="5">
        <v>623</v>
      </c>
      <c r="D15" s="5">
        <v>728</v>
      </c>
      <c r="E15" s="5">
        <v>1057</v>
      </c>
    </row>
    <row r="16" spans="2:5" x14ac:dyDescent="0.35">
      <c r="B16" s="5" t="s">
        <v>147</v>
      </c>
      <c r="C16" s="5">
        <v>6356</v>
      </c>
      <c r="D16" s="5">
        <v>8861</v>
      </c>
      <c r="E16" s="5">
        <v>8958</v>
      </c>
    </row>
    <row r="17" spans="2:5" x14ac:dyDescent="0.35">
      <c r="B17" s="5" t="s">
        <v>148</v>
      </c>
    </row>
    <row r="18" spans="2:5" x14ac:dyDescent="0.35">
      <c r="B18" s="5" t="s">
        <v>149</v>
      </c>
      <c r="C18" s="5">
        <v>-1094</v>
      </c>
      <c r="D18" s="5">
        <v>-1626</v>
      </c>
      <c r="E18" s="5">
        <v>-1331</v>
      </c>
    </row>
    <row r="19" spans="2:5" x14ac:dyDescent="0.35">
      <c r="B19" s="5" t="s">
        <v>150</v>
      </c>
      <c r="C19" s="5">
        <v>1231</v>
      </c>
      <c r="D19" s="5">
        <v>1678</v>
      </c>
      <c r="E19" s="5">
        <v>1446</v>
      </c>
    </row>
    <row r="20" spans="2:5" x14ac:dyDescent="0.35">
      <c r="B20" s="5" t="s">
        <v>151</v>
      </c>
      <c r="C20" s="5">
        <v>-2998</v>
      </c>
      <c r="D20" s="5">
        <v>-2810</v>
      </c>
      <c r="E20" s="5">
        <v>-3588</v>
      </c>
    </row>
    <row r="21" spans="2:5" x14ac:dyDescent="0.35">
      <c r="B21" s="5" t="s">
        <v>152</v>
      </c>
      <c r="C21" s="5">
        <v>0</v>
      </c>
      <c r="D21" s="5">
        <v>-1163</v>
      </c>
      <c r="E21" s="5">
        <v>0</v>
      </c>
    </row>
    <row r="22" spans="2:5" x14ac:dyDescent="0.35">
      <c r="B22" s="5" t="s">
        <v>153</v>
      </c>
      <c r="C22" s="5">
        <v>-4</v>
      </c>
      <c r="D22" s="5">
        <v>30</v>
      </c>
      <c r="E22" s="5">
        <v>-62</v>
      </c>
    </row>
    <row r="23" spans="2:5" x14ac:dyDescent="0.35">
      <c r="B23" s="5" t="s">
        <v>154</v>
      </c>
      <c r="C23" s="5">
        <v>-2865</v>
      </c>
      <c r="D23" s="5">
        <v>-3891</v>
      </c>
      <c r="E23" s="5">
        <v>-3535</v>
      </c>
    </row>
    <row r="24" spans="2:5" x14ac:dyDescent="0.35">
      <c r="B24" s="5" t="s">
        <v>155</v>
      </c>
    </row>
    <row r="25" spans="2:5" x14ac:dyDescent="0.35">
      <c r="B25" s="5" t="s">
        <v>156</v>
      </c>
      <c r="C25" s="5">
        <v>210</v>
      </c>
      <c r="D25" s="5">
        <v>137</v>
      </c>
      <c r="E25" s="5">
        <v>188</v>
      </c>
    </row>
    <row r="26" spans="2:5" x14ac:dyDescent="0.35">
      <c r="B26" s="5" t="s">
        <v>157</v>
      </c>
      <c r="C26" s="5">
        <v>0</v>
      </c>
      <c r="D26" s="5">
        <v>0</v>
      </c>
      <c r="E26" s="5">
        <v>41</v>
      </c>
    </row>
    <row r="27" spans="2:5" x14ac:dyDescent="0.35">
      <c r="B27" s="5" t="s">
        <v>158</v>
      </c>
      <c r="C27" s="5">
        <v>298</v>
      </c>
      <c r="D27" s="5">
        <v>3992</v>
      </c>
      <c r="E27" s="5">
        <v>0</v>
      </c>
    </row>
    <row r="28" spans="2:5" x14ac:dyDescent="0.35">
      <c r="B28" s="5" t="s">
        <v>159</v>
      </c>
      <c r="C28" s="5">
        <v>-89</v>
      </c>
      <c r="D28" s="5">
        <v>-3200</v>
      </c>
      <c r="E28" s="5">
        <v>-94</v>
      </c>
    </row>
    <row r="29" spans="2:5" x14ac:dyDescent="0.35">
      <c r="B29" s="5" t="s">
        <v>160</v>
      </c>
      <c r="C29" s="5">
        <v>-272</v>
      </c>
      <c r="D29" s="5">
        <v>-330</v>
      </c>
      <c r="E29" s="5">
        <v>-312</v>
      </c>
    </row>
    <row r="30" spans="2:5" x14ac:dyDescent="0.35">
      <c r="B30" s="5" t="s">
        <v>161</v>
      </c>
      <c r="C30" s="5">
        <v>-247</v>
      </c>
      <c r="D30" s="5">
        <v>-196</v>
      </c>
      <c r="E30" s="5">
        <v>-496</v>
      </c>
    </row>
    <row r="31" spans="2:5" x14ac:dyDescent="0.35">
      <c r="B31" s="5" t="s">
        <v>162</v>
      </c>
      <c r="C31" s="5">
        <v>-1038</v>
      </c>
      <c r="D31" s="5">
        <v>-1479</v>
      </c>
      <c r="E31" s="5">
        <v>-5748</v>
      </c>
    </row>
    <row r="32" spans="2:5" x14ac:dyDescent="0.35">
      <c r="B32" s="5" t="s">
        <v>163</v>
      </c>
      <c r="C32" s="5">
        <v>-9</v>
      </c>
      <c r="D32" s="5">
        <v>-71</v>
      </c>
      <c r="E32" s="5">
        <v>-67</v>
      </c>
    </row>
    <row r="33" spans="2:5" x14ac:dyDescent="0.35">
      <c r="B33" s="5" t="s">
        <v>164</v>
      </c>
      <c r="C33" s="5">
        <v>-1147</v>
      </c>
      <c r="D33" s="5">
        <v>-1147</v>
      </c>
      <c r="E33" s="5">
        <v>-6488</v>
      </c>
    </row>
    <row r="34" spans="2:5" x14ac:dyDescent="0.35">
      <c r="B34" s="5" t="s">
        <v>165</v>
      </c>
      <c r="C34" s="5">
        <v>-15</v>
      </c>
      <c r="D34" s="5">
        <v>70</v>
      </c>
      <c r="E34" s="5">
        <v>46</v>
      </c>
    </row>
    <row r="35" spans="2:5" x14ac:dyDescent="0.35">
      <c r="B35" s="5" t="s">
        <v>166</v>
      </c>
      <c r="C35" s="5">
        <v>2329</v>
      </c>
      <c r="D35" s="5">
        <v>3893</v>
      </c>
      <c r="E35" s="5">
        <v>-1019</v>
      </c>
    </row>
    <row r="36" spans="2:5" x14ac:dyDescent="0.35">
      <c r="B36" s="5" t="s">
        <v>167</v>
      </c>
      <c r="C36" s="5">
        <v>6055</v>
      </c>
      <c r="D36" s="5">
        <v>8384</v>
      </c>
      <c r="E36" s="5">
        <v>12277</v>
      </c>
    </row>
    <row r="37" spans="2:5" x14ac:dyDescent="0.35">
      <c r="B37" s="5" t="s">
        <v>168</v>
      </c>
      <c r="C37" s="5">
        <v>8384</v>
      </c>
      <c r="D37" s="5">
        <v>12277</v>
      </c>
      <c r="E37" s="5">
        <v>11258</v>
      </c>
    </row>
    <row r="38" spans="2:5" x14ac:dyDescent="0.35">
      <c r="B38" s="5" t="s">
        <v>169</v>
      </c>
    </row>
    <row r="39" spans="2:5" x14ac:dyDescent="0.35">
      <c r="B39" s="5" t="s">
        <v>170</v>
      </c>
      <c r="C39" s="5">
        <v>141</v>
      </c>
      <c r="D39" s="5">
        <v>124</v>
      </c>
      <c r="E39" s="5">
        <v>149</v>
      </c>
    </row>
    <row r="40" spans="2:5" x14ac:dyDescent="0.35">
      <c r="B40" s="5" t="s">
        <v>171</v>
      </c>
      <c r="C40" s="5">
        <v>1187</v>
      </c>
      <c r="D40" s="5">
        <v>1052</v>
      </c>
      <c r="E40" s="5">
        <v>1527</v>
      </c>
    </row>
    <row r="41" spans="2:5" x14ac:dyDescent="0.35">
      <c r="B41" s="5" t="s">
        <v>172</v>
      </c>
    </row>
    <row r="42" spans="2:5" x14ac:dyDescent="0.35">
      <c r="B42" s="5" t="s">
        <v>173</v>
      </c>
      <c r="C42" s="5">
        <v>286</v>
      </c>
      <c r="D42" s="5">
        <v>0</v>
      </c>
      <c r="E4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Free Cash Flow</vt:lpstr>
      <vt:lpstr>Fixed Assets</vt:lpstr>
      <vt:lpstr>Net Working Capital</vt:lpstr>
      <vt:lpstr>DCF</vt:lpstr>
      <vt:lpstr>WACC</vt:lpstr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 Hammad</dc:creator>
  <cp:lastModifiedBy>Ramsey Hammad</cp:lastModifiedBy>
  <dcterms:created xsi:type="dcterms:W3CDTF">2024-04-26T06:28:26Z</dcterms:created>
  <dcterms:modified xsi:type="dcterms:W3CDTF">2024-04-26T13:54:48Z</dcterms:modified>
</cp:coreProperties>
</file>