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msey\Documents\"/>
    </mc:Choice>
  </mc:AlternateContent>
  <xr:revisionPtr revIDLastSave="0" documentId="8_{8A76DBB6-A7CD-45C5-A5A6-B0FDB3F5883A}" xr6:coauthVersionLast="47" xr6:coauthVersionMax="47" xr10:uidLastSave="{00000000-0000-0000-0000-000000000000}"/>
  <workbookProtection workbookAlgorithmName="SHA-512" workbookHashValue="93FzlsV1/MW3C2iQQZ88RtaqXxOuNnfE3InpaX01B798OoN4/g7UUYWECHo+uKoBBuA14xaWQy20z8gzOrd8tw==" workbookSaltValue="DcjpkLfVQ/SSD2foVF5rRw==" workbookSpinCount="100000" lockStructure="1"/>
  <bookViews>
    <workbookView xWindow="-110" yWindow="-110" windowWidth="19420" windowHeight="10420" xr2:uid="{AE1F687D-DD4D-413C-8A72-722F903CAA81}"/>
  </bookViews>
  <sheets>
    <sheet name="Introduction" sheetId="1" r:id="rId1"/>
    <sheet name="Dashboard" sheetId="2" r:id="rId2"/>
    <sheet name="Financial Model" sheetId="5" r:id="rId3"/>
    <sheet name="Financial Ratios" sheetId="6" r:id="rId4"/>
    <sheet name="Scenario Analysi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31" i="5" l="1"/>
  <c r="E31" i="5"/>
  <c r="F31" i="5"/>
  <c r="G31" i="5"/>
  <c r="C31" i="5"/>
  <c r="Z26" i="2"/>
  <c r="X26" i="2"/>
  <c r="Z25" i="2"/>
  <c r="X25" i="2"/>
  <c r="Z24" i="2"/>
  <c r="X24" i="2"/>
  <c r="D32" i="2"/>
  <c r="E32" i="2"/>
  <c r="F32" i="2"/>
  <c r="G32" i="2"/>
  <c r="H32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106" i="5"/>
  <c r="E106" i="5"/>
  <c r="F106" i="5"/>
  <c r="G106" i="5"/>
  <c r="C106" i="5"/>
  <c r="D15" i="6"/>
  <c r="E15" i="6"/>
  <c r="F15" i="6"/>
  <c r="G15" i="6"/>
  <c r="D16" i="6"/>
  <c r="E16" i="6"/>
  <c r="F16" i="6"/>
  <c r="G16" i="6"/>
  <c r="D23" i="6"/>
  <c r="E23" i="6"/>
  <c r="F23" i="6"/>
  <c r="G23" i="6"/>
  <c r="D25" i="6"/>
  <c r="E25" i="6"/>
  <c r="F25" i="6"/>
  <c r="G25" i="6"/>
  <c r="D27" i="6"/>
  <c r="E27" i="6"/>
  <c r="F27" i="6"/>
  <c r="G27" i="6"/>
  <c r="D29" i="6"/>
  <c r="E29" i="6"/>
  <c r="F29" i="6"/>
  <c r="G29" i="6"/>
  <c r="C29" i="6"/>
  <c r="C27" i="6"/>
  <c r="C25" i="6"/>
  <c r="C23" i="6"/>
  <c r="C16" i="6"/>
  <c r="C15" i="6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H147" i="5" l="1"/>
  <c r="I147" i="5" s="1"/>
  <c r="J147" i="5" s="1"/>
  <c r="K147" i="5" s="1"/>
  <c r="F149" i="5"/>
  <c r="F150" i="5" s="1"/>
  <c r="F151" i="5" s="1"/>
  <c r="F152" i="5" s="1"/>
  <c r="G141" i="5"/>
  <c r="G140" i="5"/>
  <c r="D119" i="5"/>
  <c r="E119" i="5"/>
  <c r="F119" i="5"/>
  <c r="G119" i="5"/>
  <c r="C119" i="5"/>
  <c r="D123" i="5"/>
  <c r="E123" i="5"/>
  <c r="F123" i="5"/>
  <c r="G123" i="5"/>
  <c r="C123" i="5"/>
  <c r="E4" i="7" l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D4" i="7"/>
  <c r="G35" i="5"/>
  <c r="F35" i="5"/>
  <c r="E35" i="5"/>
  <c r="D35" i="5"/>
  <c r="Q44" i="7"/>
  <c r="Q35" i="5" s="1"/>
  <c r="Q87" i="5" s="1"/>
  <c r="P44" i="7"/>
  <c r="P35" i="5" s="1"/>
  <c r="P87" i="5" s="1"/>
  <c r="O44" i="7"/>
  <c r="O35" i="5" s="1"/>
  <c r="O87" i="5" s="1"/>
  <c r="N44" i="7"/>
  <c r="N35" i="5" s="1"/>
  <c r="N87" i="5" s="1"/>
  <c r="M44" i="7"/>
  <c r="M35" i="5" s="1"/>
  <c r="M87" i="5" s="1"/>
  <c r="L44" i="7"/>
  <c r="L35" i="5" s="1"/>
  <c r="L87" i="5" s="1"/>
  <c r="K44" i="7"/>
  <c r="K35" i="5" s="1"/>
  <c r="K87" i="5" s="1"/>
  <c r="J44" i="7"/>
  <c r="J35" i="5" s="1"/>
  <c r="J87" i="5" s="1"/>
  <c r="I44" i="7"/>
  <c r="I35" i="5" s="1"/>
  <c r="I87" i="5" s="1"/>
  <c r="H44" i="7"/>
  <c r="H35" i="5" s="1"/>
  <c r="H66" i="5" s="1"/>
  <c r="I66" i="5" s="1"/>
  <c r="C15" i="1"/>
  <c r="J66" i="5" l="1"/>
  <c r="K66" i="5" s="1"/>
  <c r="L66" i="5" s="1"/>
  <c r="M66" i="5" s="1"/>
  <c r="N66" i="5" s="1"/>
  <c r="O66" i="5" s="1"/>
  <c r="P66" i="5" s="1"/>
  <c r="Q66" i="5" s="1"/>
  <c r="H87" i="5"/>
  <c r="D4" i="5" l="1"/>
  <c r="Q101" i="7"/>
  <c r="P101" i="7"/>
  <c r="O101" i="7"/>
  <c r="N101" i="7"/>
  <c r="M101" i="7"/>
  <c r="L101" i="7"/>
  <c r="K101" i="7"/>
  <c r="J101" i="7"/>
  <c r="I101" i="7"/>
  <c r="H101" i="7"/>
  <c r="Q77" i="7"/>
  <c r="P77" i="7"/>
  <c r="O77" i="7"/>
  <c r="N77" i="7"/>
  <c r="M77" i="7"/>
  <c r="L77" i="7"/>
  <c r="K77" i="7"/>
  <c r="J77" i="7"/>
  <c r="I77" i="7"/>
  <c r="H77" i="7"/>
  <c r="Q53" i="7"/>
  <c r="P53" i="7"/>
  <c r="O53" i="7"/>
  <c r="N53" i="7"/>
  <c r="M53" i="7"/>
  <c r="L53" i="7"/>
  <c r="K53" i="7"/>
  <c r="J53" i="7"/>
  <c r="I53" i="7"/>
  <c r="H53" i="7"/>
  <c r="I38" i="7"/>
  <c r="I29" i="5" s="1"/>
  <c r="J38" i="7"/>
  <c r="J29" i="5" s="1"/>
  <c r="K38" i="7"/>
  <c r="K29" i="5" s="1"/>
  <c r="L38" i="7"/>
  <c r="L29" i="5" s="1"/>
  <c r="M38" i="7"/>
  <c r="M29" i="5" s="1"/>
  <c r="N38" i="7"/>
  <c r="N29" i="5" s="1"/>
  <c r="O38" i="7"/>
  <c r="O29" i="5" s="1"/>
  <c r="P38" i="7"/>
  <c r="P29" i="5" s="1"/>
  <c r="Q38" i="7"/>
  <c r="Q29" i="5" s="1"/>
  <c r="I40" i="7"/>
  <c r="I31" i="5" s="1"/>
  <c r="J40" i="7"/>
  <c r="J31" i="5" s="1"/>
  <c r="K40" i="7"/>
  <c r="K31" i="5" s="1"/>
  <c r="L40" i="7"/>
  <c r="L31" i="5" s="1"/>
  <c r="M40" i="7"/>
  <c r="M31" i="5" s="1"/>
  <c r="N40" i="7"/>
  <c r="N31" i="5" s="1"/>
  <c r="O40" i="7"/>
  <c r="O31" i="5" s="1"/>
  <c r="P40" i="7"/>
  <c r="P31" i="5" s="1"/>
  <c r="Q40" i="7"/>
  <c r="Q31" i="5" s="1"/>
  <c r="I41" i="7"/>
  <c r="I32" i="5" s="1"/>
  <c r="J41" i="7"/>
  <c r="J32" i="5" s="1"/>
  <c r="K41" i="7"/>
  <c r="K32" i="5" s="1"/>
  <c r="L41" i="7"/>
  <c r="L32" i="5" s="1"/>
  <c r="M41" i="7"/>
  <c r="M32" i="5" s="1"/>
  <c r="N41" i="7"/>
  <c r="N32" i="5" s="1"/>
  <c r="O41" i="7"/>
  <c r="O32" i="5" s="1"/>
  <c r="P41" i="7"/>
  <c r="P32" i="5" s="1"/>
  <c r="Q41" i="7"/>
  <c r="Q32" i="5" s="1"/>
  <c r="I43" i="7"/>
  <c r="I34" i="5" s="1"/>
  <c r="I86" i="5" s="1"/>
  <c r="J43" i="7"/>
  <c r="J34" i="5" s="1"/>
  <c r="J86" i="5" s="1"/>
  <c r="K43" i="7"/>
  <c r="K34" i="5" s="1"/>
  <c r="K86" i="5" s="1"/>
  <c r="L43" i="7"/>
  <c r="L34" i="5" s="1"/>
  <c r="L86" i="5" s="1"/>
  <c r="M43" i="7"/>
  <c r="M34" i="5" s="1"/>
  <c r="M86" i="5" s="1"/>
  <c r="N43" i="7"/>
  <c r="N34" i="5" s="1"/>
  <c r="N86" i="5" s="1"/>
  <c r="O43" i="7"/>
  <c r="O34" i="5" s="1"/>
  <c r="O86" i="5" s="1"/>
  <c r="P43" i="7"/>
  <c r="P34" i="5" s="1"/>
  <c r="P86" i="5" s="1"/>
  <c r="Q43" i="7"/>
  <c r="Q34" i="5" s="1"/>
  <c r="Q86" i="5" s="1"/>
  <c r="H43" i="7"/>
  <c r="H34" i="5" s="1"/>
  <c r="H86" i="5" s="1"/>
  <c r="H41" i="7"/>
  <c r="H32" i="5" s="1"/>
  <c r="H40" i="7"/>
  <c r="H31" i="5" s="1"/>
  <c r="H38" i="7"/>
  <c r="H29" i="5" s="1"/>
  <c r="Q36" i="7"/>
  <c r="Q27" i="5" s="1"/>
  <c r="P36" i="7"/>
  <c r="P27" i="5" s="1"/>
  <c r="O36" i="7"/>
  <c r="O27" i="5" s="1"/>
  <c r="N36" i="7"/>
  <c r="N27" i="5" s="1"/>
  <c r="M36" i="7"/>
  <c r="M27" i="5" s="1"/>
  <c r="L36" i="7"/>
  <c r="L27" i="5" s="1"/>
  <c r="K36" i="7"/>
  <c r="K27" i="5" s="1"/>
  <c r="J36" i="7"/>
  <c r="J27" i="5" s="1"/>
  <c r="I36" i="7"/>
  <c r="I27" i="5" s="1"/>
  <c r="H36" i="7"/>
  <c r="H27" i="5" s="1"/>
  <c r="Q35" i="7"/>
  <c r="Q26" i="5" s="1"/>
  <c r="P35" i="7"/>
  <c r="P26" i="5" s="1"/>
  <c r="O35" i="7"/>
  <c r="O26" i="5" s="1"/>
  <c r="N35" i="7"/>
  <c r="N26" i="5" s="1"/>
  <c r="M35" i="7"/>
  <c r="M26" i="5" s="1"/>
  <c r="L35" i="7"/>
  <c r="L26" i="5" s="1"/>
  <c r="K35" i="7"/>
  <c r="K26" i="5" s="1"/>
  <c r="J35" i="7"/>
  <c r="J26" i="5" s="1"/>
  <c r="I35" i="7"/>
  <c r="I26" i="5" s="1"/>
  <c r="H35" i="7"/>
  <c r="H26" i="5" s="1"/>
  <c r="Q32" i="7"/>
  <c r="Q23" i="5" s="1"/>
  <c r="P32" i="7"/>
  <c r="P23" i="5" s="1"/>
  <c r="O32" i="7"/>
  <c r="O23" i="5" s="1"/>
  <c r="N32" i="7"/>
  <c r="N23" i="5" s="1"/>
  <c r="M32" i="7"/>
  <c r="M23" i="5" s="1"/>
  <c r="L32" i="7"/>
  <c r="L23" i="5" s="1"/>
  <c r="K32" i="7"/>
  <c r="K23" i="5" s="1"/>
  <c r="J32" i="7"/>
  <c r="J23" i="5" s="1"/>
  <c r="I32" i="7"/>
  <c r="I23" i="5" s="1"/>
  <c r="H32" i="7"/>
  <c r="H23" i="5" s="1"/>
  <c r="Q31" i="7"/>
  <c r="Q22" i="5" s="1"/>
  <c r="P31" i="7"/>
  <c r="P22" i="5" s="1"/>
  <c r="O31" i="7"/>
  <c r="O22" i="5" s="1"/>
  <c r="N31" i="7"/>
  <c r="N22" i="5" s="1"/>
  <c r="M31" i="7"/>
  <c r="M22" i="5" s="1"/>
  <c r="L31" i="7"/>
  <c r="L22" i="5" s="1"/>
  <c r="K31" i="7"/>
  <c r="K22" i="5" s="1"/>
  <c r="J31" i="7"/>
  <c r="J22" i="5" s="1"/>
  <c r="I31" i="7"/>
  <c r="I22" i="5" s="1"/>
  <c r="H31" i="7"/>
  <c r="H22" i="5" s="1"/>
  <c r="Q28" i="7"/>
  <c r="Q19" i="5" s="1"/>
  <c r="P28" i="7"/>
  <c r="P19" i="5" s="1"/>
  <c r="O28" i="7"/>
  <c r="O19" i="5" s="1"/>
  <c r="N28" i="7"/>
  <c r="N19" i="5" s="1"/>
  <c r="M28" i="7"/>
  <c r="M19" i="5" s="1"/>
  <c r="L28" i="7"/>
  <c r="L19" i="5" s="1"/>
  <c r="K28" i="7"/>
  <c r="K19" i="5" s="1"/>
  <c r="J28" i="7"/>
  <c r="J19" i="5" s="1"/>
  <c r="I28" i="7"/>
  <c r="I19" i="5" s="1"/>
  <c r="H28" i="7"/>
  <c r="H19" i="5" s="1"/>
  <c r="Q27" i="7"/>
  <c r="Q18" i="5" s="1"/>
  <c r="P27" i="7"/>
  <c r="P18" i="5" s="1"/>
  <c r="O27" i="7"/>
  <c r="O18" i="5" s="1"/>
  <c r="N27" i="7"/>
  <c r="N18" i="5" s="1"/>
  <c r="M27" i="7"/>
  <c r="M18" i="5" s="1"/>
  <c r="L27" i="7"/>
  <c r="L18" i="5" s="1"/>
  <c r="K27" i="7"/>
  <c r="K18" i="5" s="1"/>
  <c r="J27" i="7"/>
  <c r="J18" i="5" s="1"/>
  <c r="I27" i="7"/>
  <c r="I18" i="5" s="1"/>
  <c r="H27" i="7"/>
  <c r="H18" i="5" s="1"/>
  <c r="Q26" i="7"/>
  <c r="Q17" i="5" s="1"/>
  <c r="P26" i="7"/>
  <c r="O26" i="7"/>
  <c r="N26" i="7"/>
  <c r="M26" i="7"/>
  <c r="M17" i="5" s="1"/>
  <c r="L26" i="7"/>
  <c r="L17" i="5" s="1"/>
  <c r="K26" i="7"/>
  <c r="J26" i="7"/>
  <c r="J17" i="5" s="1"/>
  <c r="I26" i="7"/>
  <c r="I17" i="5" s="1"/>
  <c r="H26" i="7"/>
  <c r="H17" i="5" s="1"/>
  <c r="Q23" i="7"/>
  <c r="Q14" i="5" s="1"/>
  <c r="P23" i="7"/>
  <c r="P14" i="5" s="1"/>
  <c r="O23" i="7"/>
  <c r="O14" i="5" s="1"/>
  <c r="N23" i="7"/>
  <c r="N14" i="5" s="1"/>
  <c r="M23" i="7"/>
  <c r="M14" i="5" s="1"/>
  <c r="L23" i="7"/>
  <c r="L14" i="5" s="1"/>
  <c r="K23" i="7"/>
  <c r="K14" i="5" s="1"/>
  <c r="J23" i="7"/>
  <c r="J14" i="5" s="1"/>
  <c r="I23" i="7"/>
  <c r="I14" i="5" s="1"/>
  <c r="H23" i="7"/>
  <c r="H14" i="5" s="1"/>
  <c r="H39" i="5" s="1"/>
  <c r="C11" i="7"/>
  <c r="D10" i="7"/>
  <c r="E10" i="7" s="1"/>
  <c r="D9" i="7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E34" i="5"/>
  <c r="F34" i="5"/>
  <c r="G34" i="5"/>
  <c r="D34" i="5"/>
  <c r="D32" i="5"/>
  <c r="E23" i="5"/>
  <c r="F23" i="5"/>
  <c r="G23" i="5"/>
  <c r="D23" i="5"/>
  <c r="D18" i="5"/>
  <c r="E18" i="5"/>
  <c r="F18" i="5"/>
  <c r="G18" i="5"/>
  <c r="D19" i="5"/>
  <c r="E19" i="5"/>
  <c r="F19" i="5"/>
  <c r="G19" i="5"/>
  <c r="C19" i="5"/>
  <c r="C18" i="5"/>
  <c r="E17" i="5"/>
  <c r="F17" i="5"/>
  <c r="G17" i="5"/>
  <c r="C17" i="5"/>
  <c r="D14" i="5"/>
  <c r="E14" i="5"/>
  <c r="F14" i="5"/>
  <c r="G14" i="5"/>
  <c r="E112" i="5"/>
  <c r="F112" i="5"/>
  <c r="G112" i="5"/>
  <c r="E114" i="5"/>
  <c r="F114" i="5"/>
  <c r="G114" i="5"/>
  <c r="D112" i="5"/>
  <c r="D114" i="5"/>
  <c r="C114" i="5"/>
  <c r="C112" i="5"/>
  <c r="C113" i="5" s="1"/>
  <c r="D111" i="5" s="1"/>
  <c r="E107" i="5"/>
  <c r="F107" i="5"/>
  <c r="G107" i="5"/>
  <c r="D107" i="5"/>
  <c r="C107" i="5"/>
  <c r="D98" i="5"/>
  <c r="E98" i="5"/>
  <c r="F98" i="5"/>
  <c r="G98" i="5"/>
  <c r="D99" i="5"/>
  <c r="E99" i="5"/>
  <c r="F99" i="5"/>
  <c r="G99" i="5"/>
  <c r="D100" i="5"/>
  <c r="E100" i="5"/>
  <c r="F100" i="5"/>
  <c r="G100" i="5"/>
  <c r="C100" i="5"/>
  <c r="C99" i="5"/>
  <c r="C98" i="5"/>
  <c r="G88" i="5"/>
  <c r="H46" i="2" s="1"/>
  <c r="F88" i="5"/>
  <c r="G46" i="2" s="1"/>
  <c r="E88" i="5"/>
  <c r="F46" i="2" s="1"/>
  <c r="D88" i="5"/>
  <c r="E46" i="2" s="1"/>
  <c r="C88" i="5"/>
  <c r="D46" i="2" s="1"/>
  <c r="G83" i="5"/>
  <c r="H45" i="2" s="1"/>
  <c r="F83" i="5"/>
  <c r="G45" i="2" s="1"/>
  <c r="E83" i="5"/>
  <c r="F45" i="2" s="1"/>
  <c r="D83" i="5"/>
  <c r="E45" i="2" s="1"/>
  <c r="C83" i="5"/>
  <c r="D45" i="2" s="1"/>
  <c r="G79" i="5"/>
  <c r="F79" i="5"/>
  <c r="E79" i="5"/>
  <c r="D79" i="5"/>
  <c r="C79" i="5"/>
  <c r="D59" i="5"/>
  <c r="E59" i="5"/>
  <c r="F59" i="5"/>
  <c r="G59" i="5"/>
  <c r="C59" i="5"/>
  <c r="D64" i="5"/>
  <c r="E64" i="5"/>
  <c r="F64" i="5"/>
  <c r="G64" i="5"/>
  <c r="C64" i="5"/>
  <c r="D68" i="5"/>
  <c r="E68" i="5"/>
  <c r="F68" i="5"/>
  <c r="G68" i="5"/>
  <c r="C68" i="5"/>
  <c r="D41" i="5"/>
  <c r="D7" i="6" s="1"/>
  <c r="E41" i="5"/>
  <c r="E7" i="6" s="1"/>
  <c r="F41" i="5"/>
  <c r="F7" i="6" s="1"/>
  <c r="G41" i="5"/>
  <c r="G7" i="6" s="1"/>
  <c r="C41" i="5"/>
  <c r="C7" i="6" s="1"/>
  <c r="D47" i="5"/>
  <c r="E47" i="5"/>
  <c r="F47" i="5"/>
  <c r="G47" i="5"/>
  <c r="C47" i="5"/>
  <c r="C35" i="6" l="1"/>
  <c r="C18" i="6"/>
  <c r="F122" i="5"/>
  <c r="F124" i="5" s="1"/>
  <c r="F90" i="5"/>
  <c r="G44" i="2"/>
  <c r="G122" i="5"/>
  <c r="G124" i="5" s="1"/>
  <c r="H44" i="2"/>
  <c r="G90" i="5"/>
  <c r="D32" i="6"/>
  <c r="D33" i="6"/>
  <c r="F18" i="6"/>
  <c r="F35" i="6"/>
  <c r="E32" i="6"/>
  <c r="E33" i="6"/>
  <c r="C34" i="6"/>
  <c r="C17" i="6"/>
  <c r="E35" i="6"/>
  <c r="E18" i="6"/>
  <c r="G34" i="6"/>
  <c r="G17" i="6"/>
  <c r="D35" i="6"/>
  <c r="D18" i="6"/>
  <c r="F34" i="6"/>
  <c r="F17" i="6"/>
  <c r="C122" i="5"/>
  <c r="C124" i="5" s="1"/>
  <c r="C90" i="5"/>
  <c r="D44" i="2"/>
  <c r="G35" i="6"/>
  <c r="G18" i="6"/>
  <c r="C33" i="6"/>
  <c r="C32" i="6"/>
  <c r="E34" i="6"/>
  <c r="E17" i="6"/>
  <c r="D122" i="5"/>
  <c r="D124" i="5" s="1"/>
  <c r="E44" i="2"/>
  <c r="D90" i="5"/>
  <c r="F32" i="6"/>
  <c r="F33" i="6"/>
  <c r="G32" i="6"/>
  <c r="G33" i="6"/>
  <c r="D17" i="6"/>
  <c r="D34" i="6"/>
  <c r="E122" i="5"/>
  <c r="E124" i="5" s="1"/>
  <c r="E90" i="5"/>
  <c r="F44" i="2"/>
  <c r="I32" i="2"/>
  <c r="H82" i="5"/>
  <c r="H106" i="5" s="1"/>
  <c r="N29" i="7"/>
  <c r="N20" i="5" s="1"/>
  <c r="P29" i="7"/>
  <c r="P20" i="5" s="1"/>
  <c r="K29" i="7"/>
  <c r="K20" i="5" s="1"/>
  <c r="O29" i="7"/>
  <c r="O20" i="5" s="1"/>
  <c r="L29" i="7"/>
  <c r="L20" i="5" s="1"/>
  <c r="K17" i="5"/>
  <c r="M29" i="7"/>
  <c r="M20" i="5" s="1"/>
  <c r="N17" i="5"/>
  <c r="H29" i="7"/>
  <c r="H20" i="5" s="1"/>
  <c r="J29" i="7"/>
  <c r="J20" i="5" s="1"/>
  <c r="O17" i="5"/>
  <c r="Q29" i="7"/>
  <c r="Q20" i="5" s="1"/>
  <c r="I29" i="7"/>
  <c r="I20" i="5" s="1"/>
  <c r="P17" i="5"/>
  <c r="C20" i="5"/>
  <c r="D20" i="5"/>
  <c r="Q88" i="5"/>
  <c r="R46" i="2" s="1"/>
  <c r="Q112" i="5"/>
  <c r="O112" i="5"/>
  <c r="O88" i="5"/>
  <c r="P46" i="2" s="1"/>
  <c r="M88" i="5"/>
  <c r="N46" i="2" s="1"/>
  <c r="M112" i="5"/>
  <c r="L88" i="5"/>
  <c r="M46" i="2" s="1"/>
  <c r="L112" i="5"/>
  <c r="N112" i="5"/>
  <c r="N88" i="5"/>
  <c r="O46" i="2" s="1"/>
  <c r="I112" i="5"/>
  <c r="I88" i="5"/>
  <c r="J46" i="2" s="1"/>
  <c r="K88" i="5"/>
  <c r="L46" i="2" s="1"/>
  <c r="K112" i="5"/>
  <c r="P88" i="5"/>
  <c r="Q46" i="2" s="1"/>
  <c r="P112" i="5"/>
  <c r="E20" i="5"/>
  <c r="H112" i="5"/>
  <c r="H88" i="5"/>
  <c r="I46" i="2" s="1"/>
  <c r="J112" i="5"/>
  <c r="J88" i="5"/>
  <c r="K46" i="2" s="1"/>
  <c r="H44" i="5"/>
  <c r="I37" i="2" s="1"/>
  <c r="H43" i="5"/>
  <c r="I36" i="2" s="1"/>
  <c r="H40" i="5"/>
  <c r="I39" i="5"/>
  <c r="F10" i="7"/>
  <c r="E11" i="7"/>
  <c r="D11" i="7"/>
  <c r="G20" i="5"/>
  <c r="D113" i="5"/>
  <c r="E111" i="5" s="1"/>
  <c r="E113" i="5" s="1"/>
  <c r="F111" i="5" s="1"/>
  <c r="F113" i="5" s="1"/>
  <c r="G111" i="5" s="1"/>
  <c r="G113" i="5" s="1"/>
  <c r="H111" i="5" s="1"/>
  <c r="F20" i="5"/>
  <c r="E48" i="5"/>
  <c r="D48" i="5"/>
  <c r="C108" i="5"/>
  <c r="D105" i="5" s="1"/>
  <c r="D69" i="5"/>
  <c r="D71" i="5" s="1"/>
  <c r="D5" i="5" s="1"/>
  <c r="F48" i="5"/>
  <c r="C69" i="5"/>
  <c r="C71" i="5" s="1"/>
  <c r="C5" i="5" s="1"/>
  <c r="G101" i="5"/>
  <c r="G69" i="5"/>
  <c r="G71" i="5" s="1"/>
  <c r="G5" i="5" s="1"/>
  <c r="C101" i="5"/>
  <c r="C102" i="5" s="1"/>
  <c r="F101" i="5"/>
  <c r="E101" i="5"/>
  <c r="D101" i="5"/>
  <c r="C48" i="5"/>
  <c r="F69" i="5"/>
  <c r="F71" i="5" s="1"/>
  <c r="F5" i="5" s="1"/>
  <c r="G48" i="5"/>
  <c r="E69" i="5"/>
  <c r="E71" i="5" s="1"/>
  <c r="E5" i="5" s="1"/>
  <c r="C92" i="5"/>
  <c r="D47" i="2" s="1"/>
  <c r="D118" i="5" l="1"/>
  <c r="D120" i="5" s="1"/>
  <c r="D11" i="6"/>
  <c r="D12" i="6"/>
  <c r="D8" i="6"/>
  <c r="E118" i="5"/>
  <c r="E120" i="5" s="1"/>
  <c r="E11" i="6"/>
  <c r="E8" i="6"/>
  <c r="E12" i="6"/>
  <c r="G118" i="5"/>
  <c r="G120" i="5" s="1"/>
  <c r="G8" i="6"/>
  <c r="G12" i="6"/>
  <c r="G11" i="6"/>
  <c r="C118" i="5"/>
  <c r="C120" i="5" s="1"/>
  <c r="C12" i="6"/>
  <c r="C8" i="6"/>
  <c r="C11" i="6"/>
  <c r="F118" i="5"/>
  <c r="F120" i="5" s="1"/>
  <c r="F12" i="6"/>
  <c r="F11" i="6"/>
  <c r="F8" i="6"/>
  <c r="H123" i="5"/>
  <c r="J32" i="2"/>
  <c r="I82" i="5"/>
  <c r="I106" i="5" s="1"/>
  <c r="D91" i="5"/>
  <c r="D92" i="5" s="1"/>
  <c r="E47" i="2" s="1"/>
  <c r="H83" i="5"/>
  <c r="I45" i="2" s="1"/>
  <c r="H41" i="5"/>
  <c r="H7" i="6" s="1"/>
  <c r="H113" i="5"/>
  <c r="H114" i="5" s="1"/>
  <c r="H45" i="5" s="1"/>
  <c r="I38" i="2" s="1"/>
  <c r="D108" i="5"/>
  <c r="E105" i="5" s="1"/>
  <c r="E32" i="5"/>
  <c r="G50" i="5"/>
  <c r="G22" i="5"/>
  <c r="F50" i="5"/>
  <c r="F22" i="5"/>
  <c r="D50" i="5"/>
  <c r="D22" i="5"/>
  <c r="E50" i="5"/>
  <c r="E22" i="5"/>
  <c r="I40" i="5"/>
  <c r="I44" i="5"/>
  <c r="J37" i="2" s="1"/>
  <c r="J39" i="5"/>
  <c r="I43" i="5"/>
  <c r="J36" i="2" s="1"/>
  <c r="F11" i="7"/>
  <c r="G10" i="7"/>
  <c r="C50" i="5"/>
  <c r="C22" i="5"/>
  <c r="D102" i="5"/>
  <c r="G102" i="5"/>
  <c r="E102" i="5"/>
  <c r="F102" i="5"/>
  <c r="D41" i="2" l="1"/>
  <c r="C36" i="6"/>
  <c r="D42" i="2" s="1"/>
  <c r="E36" i="6"/>
  <c r="F42" i="2" s="1"/>
  <c r="F41" i="2"/>
  <c r="D39" i="6"/>
  <c r="E33" i="2"/>
  <c r="D9" i="6"/>
  <c r="E34" i="2" s="1"/>
  <c r="D40" i="6"/>
  <c r="G39" i="6"/>
  <c r="H33" i="2"/>
  <c r="G9" i="6"/>
  <c r="H34" i="2" s="1"/>
  <c r="G40" i="6"/>
  <c r="E39" i="6"/>
  <c r="E9" i="6"/>
  <c r="F34" i="2" s="1"/>
  <c r="F33" i="2"/>
  <c r="E40" i="6"/>
  <c r="I123" i="5"/>
  <c r="C9" i="6"/>
  <c r="D34" i="2" s="1"/>
  <c r="C40" i="6"/>
  <c r="D33" i="2"/>
  <c r="C39" i="6"/>
  <c r="G33" i="2"/>
  <c r="F39" i="6"/>
  <c r="F9" i="6"/>
  <c r="G34" i="2" s="1"/>
  <c r="F40" i="6"/>
  <c r="F36" i="6"/>
  <c r="G42" i="2" s="1"/>
  <c r="G41" i="2"/>
  <c r="H41" i="2"/>
  <c r="G36" i="6"/>
  <c r="H42" i="2" s="1"/>
  <c r="D36" i="6"/>
  <c r="E42" i="2" s="1"/>
  <c r="E41" i="2"/>
  <c r="I83" i="5"/>
  <c r="J45" i="2" s="1"/>
  <c r="K32" i="2"/>
  <c r="J82" i="5"/>
  <c r="J106" i="5" s="1"/>
  <c r="E91" i="5"/>
  <c r="E92" i="5" s="1"/>
  <c r="F47" i="2" s="1"/>
  <c r="H47" i="5"/>
  <c r="H48" i="5" s="1"/>
  <c r="H49" i="5" s="1"/>
  <c r="I41" i="5"/>
  <c r="I7" i="6" s="1"/>
  <c r="H63" i="5"/>
  <c r="I111" i="5"/>
  <c r="I113" i="5" s="1"/>
  <c r="I114" i="5" s="1"/>
  <c r="I45" i="5" s="1"/>
  <c r="J38" i="2" s="1"/>
  <c r="E108" i="5"/>
  <c r="F105" i="5" s="1"/>
  <c r="F32" i="5"/>
  <c r="K39" i="5"/>
  <c r="J44" i="5"/>
  <c r="K37" i="2" s="1"/>
  <c r="J40" i="5"/>
  <c r="J43" i="5"/>
  <c r="K36" i="2" s="1"/>
  <c r="H10" i="7"/>
  <c r="G11" i="7"/>
  <c r="J123" i="5" l="1"/>
  <c r="J83" i="5"/>
  <c r="K45" i="2" s="1"/>
  <c r="L32" i="2"/>
  <c r="K82" i="5"/>
  <c r="K106" i="5" s="1"/>
  <c r="F91" i="5"/>
  <c r="F92" i="5" s="1"/>
  <c r="G47" i="2" s="1"/>
  <c r="I47" i="5"/>
  <c r="I48" i="5" s="1"/>
  <c r="I8" i="6" s="1"/>
  <c r="H118" i="5"/>
  <c r="J111" i="5"/>
  <c r="J113" i="5" s="1"/>
  <c r="K111" i="5" s="1"/>
  <c r="K113" i="5" s="1"/>
  <c r="H50" i="5"/>
  <c r="I33" i="2" s="1"/>
  <c r="H11" i="6"/>
  <c r="H141" i="5"/>
  <c r="I63" i="5"/>
  <c r="H8" i="6"/>
  <c r="H12" i="6"/>
  <c r="F108" i="5"/>
  <c r="G105" i="5" s="1"/>
  <c r="G108" i="5" s="1"/>
  <c r="H105" i="5" s="1"/>
  <c r="G32" i="5"/>
  <c r="J41" i="5"/>
  <c r="J7" i="6" s="1"/>
  <c r="L39" i="5"/>
  <c r="K43" i="5"/>
  <c r="L36" i="2" s="1"/>
  <c r="K44" i="5"/>
  <c r="L37" i="2" s="1"/>
  <c r="K40" i="5"/>
  <c r="H11" i="7"/>
  <c r="I10" i="7"/>
  <c r="I118" i="5" l="1"/>
  <c r="I49" i="5"/>
  <c r="I50" i="5" s="1"/>
  <c r="J33" i="2" s="1"/>
  <c r="K123" i="5"/>
  <c r="M32" i="2"/>
  <c r="L82" i="5"/>
  <c r="L106" i="5" s="1"/>
  <c r="I12" i="6"/>
  <c r="G91" i="5"/>
  <c r="G92" i="5" s="1"/>
  <c r="H47" i="2" s="1"/>
  <c r="J114" i="5"/>
  <c r="J45" i="5" s="1"/>
  <c r="K38" i="2" s="1"/>
  <c r="H9" i="6"/>
  <c r="I34" i="2" s="1"/>
  <c r="H76" i="5"/>
  <c r="J63" i="5"/>
  <c r="J141" i="5" s="1"/>
  <c r="I141" i="5"/>
  <c r="K83" i="5"/>
  <c r="L45" i="2" s="1"/>
  <c r="H67" i="5"/>
  <c r="H68" i="5" s="1"/>
  <c r="K41" i="5"/>
  <c r="K7" i="6" s="1"/>
  <c r="H107" i="5"/>
  <c r="H46" i="5" s="1"/>
  <c r="I39" i="2" s="1"/>
  <c r="L111" i="5"/>
  <c r="L113" i="5" s="1"/>
  <c r="K63" i="5"/>
  <c r="K114" i="5"/>
  <c r="K45" i="5" s="1"/>
  <c r="L38" i="2" s="1"/>
  <c r="M39" i="5"/>
  <c r="L43" i="5"/>
  <c r="M36" i="2" s="1"/>
  <c r="L40" i="5"/>
  <c r="L44" i="5"/>
  <c r="M37" i="2" s="1"/>
  <c r="J10" i="7"/>
  <c r="I11" i="7"/>
  <c r="I11" i="6" l="1"/>
  <c r="L123" i="5"/>
  <c r="N32" i="2"/>
  <c r="M82" i="5"/>
  <c r="M106" i="5" s="1"/>
  <c r="J47" i="5"/>
  <c r="J48" i="5" s="1"/>
  <c r="J12" i="6" s="1"/>
  <c r="H91" i="5"/>
  <c r="K47" i="5"/>
  <c r="K48" i="5" s="1"/>
  <c r="K12" i="6" s="1"/>
  <c r="I9" i="6"/>
  <c r="J34" i="2" s="1"/>
  <c r="I67" i="5"/>
  <c r="I68" i="5" s="1"/>
  <c r="I33" i="6" s="1"/>
  <c r="K141" i="5"/>
  <c r="L41" i="5"/>
  <c r="L7" i="6" s="1"/>
  <c r="I76" i="5"/>
  <c r="H32" i="6"/>
  <c r="H33" i="6"/>
  <c r="L83" i="5"/>
  <c r="M45" i="2" s="1"/>
  <c r="H39" i="6"/>
  <c r="H77" i="5"/>
  <c r="H119" i="5"/>
  <c r="H120" i="5" s="1"/>
  <c r="I41" i="2" s="1"/>
  <c r="M111" i="5"/>
  <c r="M113" i="5" s="1"/>
  <c r="L63" i="5"/>
  <c r="L114" i="5"/>
  <c r="L45" i="5" s="1"/>
  <c r="M38" i="2" s="1"/>
  <c r="H108" i="5"/>
  <c r="N39" i="5"/>
  <c r="M44" i="5"/>
  <c r="N37" i="2" s="1"/>
  <c r="M43" i="5"/>
  <c r="N36" i="2" s="1"/>
  <c r="M40" i="5"/>
  <c r="K10" i="7"/>
  <c r="J11" i="7"/>
  <c r="J8" i="6" l="1"/>
  <c r="M123" i="5"/>
  <c r="K118" i="5"/>
  <c r="K49" i="5"/>
  <c r="K50" i="5" s="1"/>
  <c r="L33" i="2" s="1"/>
  <c r="J118" i="5"/>
  <c r="J49" i="5"/>
  <c r="J50" i="5" s="1"/>
  <c r="K33" i="2" s="1"/>
  <c r="O32" i="2"/>
  <c r="N82" i="5"/>
  <c r="N106" i="5" s="1"/>
  <c r="K8" i="6"/>
  <c r="L47" i="5"/>
  <c r="L48" i="5" s="1"/>
  <c r="L8" i="6" s="1"/>
  <c r="H36" i="6"/>
  <c r="I42" i="2" s="1"/>
  <c r="I32" i="6"/>
  <c r="I39" i="6"/>
  <c r="M83" i="5"/>
  <c r="N45" i="2" s="1"/>
  <c r="K11" i="6"/>
  <c r="M41" i="5"/>
  <c r="M7" i="6" s="1"/>
  <c r="L141" i="5"/>
  <c r="I105" i="5"/>
  <c r="H58" i="5"/>
  <c r="H29" i="6" s="1"/>
  <c r="N111" i="5"/>
  <c r="N113" i="5" s="1"/>
  <c r="M63" i="5"/>
  <c r="M114" i="5"/>
  <c r="M45" i="5" s="1"/>
  <c r="O39" i="5"/>
  <c r="N43" i="5"/>
  <c r="O36" i="2" s="1"/>
  <c r="N44" i="5"/>
  <c r="O37" i="2" s="1"/>
  <c r="N40" i="5"/>
  <c r="L10" i="7"/>
  <c r="K11" i="7"/>
  <c r="N123" i="5" l="1"/>
  <c r="J11" i="6"/>
  <c r="P32" i="2"/>
  <c r="O82" i="5"/>
  <c r="O106" i="5" s="1"/>
  <c r="M47" i="5"/>
  <c r="M48" i="5" s="1"/>
  <c r="N38" i="2"/>
  <c r="L118" i="5"/>
  <c r="L49" i="5"/>
  <c r="L11" i="6" s="1"/>
  <c r="K9" i="6"/>
  <c r="L34" i="2" s="1"/>
  <c r="J9" i="6"/>
  <c r="K34" i="2" s="1"/>
  <c r="L12" i="6"/>
  <c r="N83" i="5"/>
  <c r="O45" i="2" s="1"/>
  <c r="J76" i="5"/>
  <c r="J67" i="5"/>
  <c r="K76" i="5"/>
  <c r="M141" i="5"/>
  <c r="N41" i="5"/>
  <c r="N7" i="6" s="1"/>
  <c r="O111" i="5"/>
  <c r="O113" i="5" s="1"/>
  <c r="N63" i="5"/>
  <c r="N114" i="5"/>
  <c r="N45" i="5" s="1"/>
  <c r="I107" i="5"/>
  <c r="I46" i="5" s="1"/>
  <c r="J39" i="2" s="1"/>
  <c r="P39" i="5"/>
  <c r="O40" i="5"/>
  <c r="O43" i="5"/>
  <c r="P36" i="2" s="1"/>
  <c r="O44" i="5"/>
  <c r="P37" i="2" s="1"/>
  <c r="M10" i="7"/>
  <c r="L11" i="7"/>
  <c r="O123" i="5" l="1"/>
  <c r="L50" i="5"/>
  <c r="M33" i="2" s="1"/>
  <c r="Q32" i="2"/>
  <c r="P82" i="5"/>
  <c r="P106" i="5" s="1"/>
  <c r="N47" i="5"/>
  <c r="N48" i="5" s="1"/>
  <c r="N12" i="6" s="1"/>
  <c r="O38" i="2"/>
  <c r="L9" i="6"/>
  <c r="M34" i="2" s="1"/>
  <c r="O83" i="5"/>
  <c r="P45" i="2" s="1"/>
  <c r="M118" i="5"/>
  <c r="M8" i="6"/>
  <c r="M12" i="6"/>
  <c r="O41" i="5"/>
  <c r="O7" i="6" s="1"/>
  <c r="K67" i="5"/>
  <c r="J68" i="5"/>
  <c r="P123" i="5"/>
  <c r="M49" i="5"/>
  <c r="N141" i="5"/>
  <c r="I77" i="5"/>
  <c r="I119" i="5"/>
  <c r="I120" i="5" s="1"/>
  <c r="J41" i="2" s="1"/>
  <c r="P111" i="5"/>
  <c r="P113" i="5" s="1"/>
  <c r="O63" i="5"/>
  <c r="O114" i="5"/>
  <c r="O45" i="5" s="1"/>
  <c r="I108" i="5"/>
  <c r="Q39" i="5"/>
  <c r="P40" i="5"/>
  <c r="P43" i="5"/>
  <c r="Q36" i="2" s="1"/>
  <c r="P44" i="5"/>
  <c r="Q37" i="2" s="1"/>
  <c r="N10" i="7"/>
  <c r="M11" i="7"/>
  <c r="L76" i="5" l="1"/>
  <c r="R32" i="2"/>
  <c r="Q82" i="5"/>
  <c r="Q106" i="5" s="1"/>
  <c r="N8" i="6"/>
  <c r="O47" i="5"/>
  <c r="O48" i="5" s="1"/>
  <c r="O118" i="5" s="1"/>
  <c r="P38" i="2"/>
  <c r="P83" i="5"/>
  <c r="Q45" i="2" s="1"/>
  <c r="N118" i="5"/>
  <c r="N49" i="5"/>
  <c r="N50" i="5" s="1"/>
  <c r="I36" i="6"/>
  <c r="J42" i="2" s="1"/>
  <c r="O141" i="5"/>
  <c r="P41" i="5"/>
  <c r="P7" i="6" s="1"/>
  <c r="J32" i="6"/>
  <c r="J33" i="6"/>
  <c r="J39" i="6"/>
  <c r="K68" i="5"/>
  <c r="L67" i="5"/>
  <c r="M50" i="5"/>
  <c r="M11" i="6"/>
  <c r="Q111" i="5"/>
  <c r="Q113" i="5" s="1"/>
  <c r="P63" i="5"/>
  <c r="P114" i="5"/>
  <c r="P45" i="5" s="1"/>
  <c r="J105" i="5"/>
  <c r="J107" i="5" s="1"/>
  <c r="I58" i="5"/>
  <c r="I29" i="6" s="1"/>
  <c r="Q44" i="5"/>
  <c r="R37" i="2" s="1"/>
  <c r="Q40" i="5"/>
  <c r="Q43" i="5"/>
  <c r="R36" i="2" s="1"/>
  <c r="N11" i="7"/>
  <c r="O10" i="7"/>
  <c r="Q123" i="5" l="1"/>
  <c r="P47" i="5"/>
  <c r="P48" i="5" s="1"/>
  <c r="P49" i="5" s="1"/>
  <c r="Q38" i="2"/>
  <c r="N11" i="6"/>
  <c r="O49" i="5"/>
  <c r="O50" i="5" s="1"/>
  <c r="P33" i="2" s="1"/>
  <c r="O12" i="6"/>
  <c r="O8" i="6"/>
  <c r="N9" i="6"/>
  <c r="O34" i="2" s="1"/>
  <c r="O33" i="2"/>
  <c r="M9" i="6"/>
  <c r="N34" i="2" s="1"/>
  <c r="N33" i="2"/>
  <c r="Q83" i="5"/>
  <c r="R45" i="2" s="1"/>
  <c r="M76" i="5"/>
  <c r="K33" i="6"/>
  <c r="K32" i="6"/>
  <c r="K39" i="6"/>
  <c r="P141" i="5"/>
  <c r="Q41" i="5"/>
  <c r="Q7" i="6" s="1"/>
  <c r="L68" i="5"/>
  <c r="M67" i="5"/>
  <c r="N76" i="5"/>
  <c r="J108" i="5"/>
  <c r="J46" i="5"/>
  <c r="K39" i="2" s="1"/>
  <c r="Q63" i="5"/>
  <c r="Q114" i="5"/>
  <c r="Q45" i="5" s="1"/>
  <c r="O11" i="7"/>
  <c r="P10" i="7"/>
  <c r="P118" i="5" l="1"/>
  <c r="P12" i="6"/>
  <c r="P8" i="6"/>
  <c r="O11" i="6"/>
  <c r="Q47" i="5"/>
  <c r="Q48" i="5" s="1"/>
  <c r="Q49" i="5" s="1"/>
  <c r="R38" i="2"/>
  <c r="O76" i="5"/>
  <c r="O9" i="6"/>
  <c r="P34" i="2" s="1"/>
  <c r="M68" i="5"/>
  <c r="N67" i="5"/>
  <c r="P50" i="5"/>
  <c r="P11" i="6"/>
  <c r="Q141" i="5"/>
  <c r="L32" i="6"/>
  <c r="L33" i="6"/>
  <c r="L39" i="6"/>
  <c r="J77" i="5"/>
  <c r="J119" i="5"/>
  <c r="J120" i="5" s="1"/>
  <c r="K41" i="2" s="1"/>
  <c r="K105" i="5"/>
  <c r="K107" i="5" s="1"/>
  <c r="J58" i="5"/>
  <c r="J29" i="6" s="1"/>
  <c r="P11" i="7"/>
  <c r="Q10" i="7"/>
  <c r="Q11" i="7" s="1"/>
  <c r="Q8" i="6" l="1"/>
  <c r="Q12" i="6"/>
  <c r="Q118" i="5"/>
  <c r="J36" i="6"/>
  <c r="K42" i="2" s="1"/>
  <c r="P9" i="6"/>
  <c r="Q34" i="2" s="1"/>
  <c r="Q33" i="2"/>
  <c r="P76" i="5"/>
  <c r="N68" i="5"/>
  <c r="O67" i="5"/>
  <c r="Q50" i="5"/>
  <c r="Q11" i="6"/>
  <c r="M33" i="6"/>
  <c r="M32" i="6"/>
  <c r="M39" i="6"/>
  <c r="K108" i="5"/>
  <c r="K46" i="5"/>
  <c r="L39" i="2" s="1"/>
  <c r="D11" i="5"/>
  <c r="E11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C12" i="5"/>
  <c r="C20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C17" i="1"/>
  <c r="C16" i="1"/>
  <c r="C14" i="1"/>
  <c r="C13" i="1"/>
  <c r="C24" i="6" l="1"/>
  <c r="C26" i="6"/>
  <c r="C28" i="6"/>
  <c r="Q9" i="6"/>
  <c r="R34" i="2" s="1"/>
  <c r="R33" i="2"/>
  <c r="O68" i="5"/>
  <c r="P67" i="5"/>
  <c r="Q76" i="5"/>
  <c r="N32" i="6"/>
  <c r="N33" i="6"/>
  <c r="N39" i="6"/>
  <c r="K77" i="5"/>
  <c r="K119" i="5"/>
  <c r="K120" i="5" s="1"/>
  <c r="L41" i="2" s="1"/>
  <c r="C29" i="5"/>
  <c r="C27" i="5"/>
  <c r="C26" i="5"/>
  <c r="L105" i="5"/>
  <c r="L107" i="5" s="1"/>
  <c r="K58" i="5"/>
  <c r="K29" i="6" s="1"/>
  <c r="F11" i="5"/>
  <c r="E12" i="5"/>
  <c r="E20" i="6" s="1"/>
  <c r="D12" i="5"/>
  <c r="D20" i="6" s="1"/>
  <c r="D28" i="6" l="1"/>
  <c r="D24" i="6"/>
  <c r="D26" i="6"/>
  <c r="E24" i="6"/>
  <c r="E26" i="6"/>
  <c r="E28" i="6"/>
  <c r="K36" i="6"/>
  <c r="L42" i="2" s="1"/>
  <c r="P68" i="5"/>
  <c r="Q67" i="5"/>
  <c r="Q68" i="5" s="1"/>
  <c r="O33" i="6"/>
  <c r="O32" i="6"/>
  <c r="O39" i="6"/>
  <c r="L108" i="5"/>
  <c r="L46" i="5"/>
  <c r="M39" i="2" s="1"/>
  <c r="E27" i="5"/>
  <c r="E26" i="5"/>
  <c r="E29" i="5"/>
  <c r="D27" i="5"/>
  <c r="D26" i="5"/>
  <c r="D29" i="5"/>
  <c r="G11" i="5"/>
  <c r="G133" i="5" s="1"/>
  <c r="F12" i="5"/>
  <c r="F20" i="6" s="1"/>
  <c r="F28" i="6" l="1"/>
  <c r="F26" i="6"/>
  <c r="F24" i="6"/>
  <c r="Q32" i="6"/>
  <c r="Q33" i="6"/>
  <c r="Q39" i="6"/>
  <c r="P33" i="6"/>
  <c r="P32" i="6"/>
  <c r="P39" i="6"/>
  <c r="L77" i="5"/>
  <c r="L119" i="5"/>
  <c r="L120" i="5" s="1"/>
  <c r="M41" i="2" s="1"/>
  <c r="F26" i="5"/>
  <c r="F27" i="5"/>
  <c r="F29" i="5"/>
  <c r="M105" i="5"/>
  <c r="M107" i="5" s="1"/>
  <c r="L58" i="5"/>
  <c r="L29" i="6" s="1"/>
  <c r="H11" i="5"/>
  <c r="H133" i="5" s="1"/>
  <c r="H134" i="5" s="1"/>
  <c r="G12" i="5"/>
  <c r="G20" i="6" s="1"/>
  <c r="G26" i="6" l="1"/>
  <c r="G28" i="6"/>
  <c r="G24" i="6"/>
  <c r="L36" i="6"/>
  <c r="M42" i="2" s="1"/>
  <c r="G26" i="5"/>
  <c r="G29" i="5"/>
  <c r="G27" i="5"/>
  <c r="M108" i="5"/>
  <c r="M46" i="5"/>
  <c r="N39" i="2" s="1"/>
  <c r="I11" i="5"/>
  <c r="I133" i="5" s="1"/>
  <c r="H12" i="5"/>
  <c r="H20" i="6" s="1"/>
  <c r="M77" i="5" l="1"/>
  <c r="M119" i="5"/>
  <c r="M120" i="5" s="1"/>
  <c r="I134" i="5"/>
  <c r="H56" i="5"/>
  <c r="H57" i="5"/>
  <c r="H23" i="6" s="1"/>
  <c r="H24" i="6" s="1"/>
  <c r="H62" i="5"/>
  <c r="H27" i="6" s="1"/>
  <c r="H28" i="6" s="1"/>
  <c r="N105" i="5"/>
  <c r="N107" i="5" s="1"/>
  <c r="M58" i="5"/>
  <c r="M29" i="6" s="1"/>
  <c r="J11" i="5"/>
  <c r="J133" i="5" s="1"/>
  <c r="J134" i="5" s="1"/>
  <c r="I12" i="5"/>
  <c r="I20" i="6" s="1"/>
  <c r="N41" i="2" l="1"/>
  <c r="M36" i="6"/>
  <c r="N42" i="2" s="1"/>
  <c r="H98" i="5"/>
  <c r="H25" i="6"/>
  <c r="H26" i="6" s="1"/>
  <c r="I56" i="5"/>
  <c r="I57" i="5"/>
  <c r="I23" i="6" s="1"/>
  <c r="I24" i="6" s="1"/>
  <c r="I62" i="5"/>
  <c r="I27" i="6" s="1"/>
  <c r="I28" i="6" s="1"/>
  <c r="N108" i="5"/>
  <c r="N46" i="5"/>
  <c r="O39" i="2" s="1"/>
  <c r="H64" i="5"/>
  <c r="H100" i="5"/>
  <c r="H99" i="5"/>
  <c r="K11" i="5"/>
  <c r="K133" i="5" s="1"/>
  <c r="J12" i="5"/>
  <c r="J20" i="6" s="1"/>
  <c r="I98" i="5" l="1"/>
  <c r="I25" i="6"/>
  <c r="I26" i="6" s="1"/>
  <c r="H69" i="5"/>
  <c r="H34" i="6"/>
  <c r="N77" i="5"/>
  <c r="N119" i="5"/>
  <c r="N120" i="5" s="1"/>
  <c r="K134" i="5"/>
  <c r="H101" i="5"/>
  <c r="H102" i="5" s="1"/>
  <c r="H78" i="5" s="1"/>
  <c r="H79" i="5" s="1"/>
  <c r="I44" i="2" s="1"/>
  <c r="J56" i="5"/>
  <c r="J57" i="5"/>
  <c r="J23" i="6" s="1"/>
  <c r="J24" i="6" s="1"/>
  <c r="J62" i="5"/>
  <c r="J27" i="6" s="1"/>
  <c r="J28" i="6" s="1"/>
  <c r="I64" i="5"/>
  <c r="I100" i="5"/>
  <c r="O105" i="5"/>
  <c r="O107" i="5" s="1"/>
  <c r="N58" i="5"/>
  <c r="N29" i="6" s="1"/>
  <c r="I99" i="5"/>
  <c r="L11" i="5"/>
  <c r="L133" i="5" s="1"/>
  <c r="K12" i="5"/>
  <c r="K20" i="6" s="1"/>
  <c r="H90" i="5" l="1"/>
  <c r="H92" i="5" s="1"/>
  <c r="I47" i="2" s="1"/>
  <c r="N36" i="6"/>
  <c r="O42" i="2" s="1"/>
  <c r="O41" i="2"/>
  <c r="I69" i="5"/>
  <c r="I34" i="6"/>
  <c r="J98" i="5"/>
  <c r="J25" i="6"/>
  <c r="J26" i="6" s="1"/>
  <c r="L134" i="5"/>
  <c r="H122" i="5"/>
  <c r="I101" i="5"/>
  <c r="I102" i="5" s="1"/>
  <c r="I78" i="5" s="1"/>
  <c r="I79" i="5" s="1"/>
  <c r="J44" i="2" s="1"/>
  <c r="K56" i="5"/>
  <c r="K62" i="5"/>
  <c r="K27" i="6" s="1"/>
  <c r="K28" i="6" s="1"/>
  <c r="K57" i="5"/>
  <c r="K23" i="6" s="1"/>
  <c r="K24" i="6" s="1"/>
  <c r="J99" i="5"/>
  <c r="J64" i="5"/>
  <c r="J100" i="5"/>
  <c r="O108" i="5"/>
  <c r="O46" i="5"/>
  <c r="P39" i="2" s="1"/>
  <c r="M11" i="5"/>
  <c r="M133" i="5" s="1"/>
  <c r="L12" i="5"/>
  <c r="L20" i="6" s="1"/>
  <c r="H124" i="5" l="1"/>
  <c r="H136" i="5" s="1"/>
  <c r="I90" i="5"/>
  <c r="I91" i="5"/>
  <c r="J69" i="5"/>
  <c r="J34" i="6"/>
  <c r="K98" i="5"/>
  <c r="K25" i="6"/>
  <c r="K26" i="6" s="1"/>
  <c r="O77" i="5"/>
  <c r="O119" i="5"/>
  <c r="O120" i="5" s="1"/>
  <c r="M134" i="5"/>
  <c r="H55" i="5"/>
  <c r="I122" i="5"/>
  <c r="J101" i="5"/>
  <c r="J102" i="5" s="1"/>
  <c r="J78" i="5" s="1"/>
  <c r="J79" i="5" s="1"/>
  <c r="K44" i="2" s="1"/>
  <c r="L56" i="5"/>
  <c r="L62" i="5"/>
  <c r="L27" i="6" s="1"/>
  <c r="L28" i="6" s="1"/>
  <c r="L57" i="5"/>
  <c r="L23" i="6" s="1"/>
  <c r="L24" i="6" s="1"/>
  <c r="P105" i="5"/>
  <c r="P107" i="5" s="1"/>
  <c r="O58" i="5"/>
  <c r="O29" i="6" s="1"/>
  <c r="K99" i="5"/>
  <c r="K64" i="5"/>
  <c r="K100" i="5"/>
  <c r="N11" i="5"/>
  <c r="N133" i="5" s="1"/>
  <c r="N134" i="5" s="1"/>
  <c r="M12" i="5"/>
  <c r="M20" i="6" s="1"/>
  <c r="I124" i="5" l="1"/>
  <c r="I136" i="5" s="1"/>
  <c r="I92" i="5"/>
  <c r="J47" i="2" s="1"/>
  <c r="J90" i="5"/>
  <c r="O36" i="6"/>
  <c r="P42" i="2" s="1"/>
  <c r="P41" i="2"/>
  <c r="H16" i="6"/>
  <c r="H15" i="6"/>
  <c r="H17" i="6"/>
  <c r="L98" i="5"/>
  <c r="L25" i="6"/>
  <c r="L26" i="6" s="1"/>
  <c r="K69" i="5"/>
  <c r="K34" i="6"/>
  <c r="H59" i="5"/>
  <c r="H140" i="5"/>
  <c r="J122" i="5"/>
  <c r="K101" i="5"/>
  <c r="K102" i="5" s="1"/>
  <c r="K78" i="5" s="1"/>
  <c r="K79" i="5" s="1"/>
  <c r="L44" i="2" s="1"/>
  <c r="P108" i="5"/>
  <c r="P46" i="5"/>
  <c r="Q39" i="2" s="1"/>
  <c r="L99" i="5"/>
  <c r="L64" i="5"/>
  <c r="L100" i="5"/>
  <c r="M56" i="5"/>
  <c r="M62" i="5"/>
  <c r="M27" i="6" s="1"/>
  <c r="M28" i="6" s="1"/>
  <c r="M57" i="5"/>
  <c r="M23" i="6" s="1"/>
  <c r="M24" i="6" s="1"/>
  <c r="O11" i="5"/>
  <c r="O133" i="5" s="1"/>
  <c r="O134" i="5" s="1"/>
  <c r="N12" i="5"/>
  <c r="N20" i="6" s="1"/>
  <c r="J124" i="5" l="1"/>
  <c r="J136" i="5" s="1"/>
  <c r="I55" i="5"/>
  <c r="I140" i="5" s="1"/>
  <c r="J91" i="5"/>
  <c r="J92" i="5" s="1"/>
  <c r="K90" i="5"/>
  <c r="M98" i="5"/>
  <c r="M25" i="6"/>
  <c r="M26" i="6" s="1"/>
  <c r="H71" i="5"/>
  <c r="H5" i="5" s="1"/>
  <c r="H35" i="6"/>
  <c r="H18" i="6"/>
  <c r="H40" i="6"/>
  <c r="L69" i="5"/>
  <c r="L34" i="6"/>
  <c r="P77" i="5"/>
  <c r="P119" i="5"/>
  <c r="P120" i="5" s="1"/>
  <c r="K122" i="5"/>
  <c r="L101" i="5"/>
  <c r="L102" i="5" s="1"/>
  <c r="L78" i="5" s="1"/>
  <c r="L79" i="5" s="1"/>
  <c r="M44" i="2" s="1"/>
  <c r="Q105" i="5"/>
  <c r="Q107" i="5" s="1"/>
  <c r="P58" i="5"/>
  <c r="P29" i="6" s="1"/>
  <c r="N56" i="5"/>
  <c r="N62" i="5"/>
  <c r="N27" i="6" s="1"/>
  <c r="N28" i="6" s="1"/>
  <c r="N57" i="5"/>
  <c r="N23" i="6" s="1"/>
  <c r="N24" i="6" s="1"/>
  <c r="M99" i="5"/>
  <c r="M64" i="5"/>
  <c r="M100" i="5"/>
  <c r="P11" i="5"/>
  <c r="P133" i="5" s="1"/>
  <c r="P134" i="5" s="1"/>
  <c r="O12" i="5"/>
  <c r="O20" i="6" s="1"/>
  <c r="K47" i="2" l="1"/>
  <c r="K91" i="5"/>
  <c r="K92" i="5" s="1"/>
  <c r="L47" i="2" s="1"/>
  <c r="J55" i="5"/>
  <c r="J16" i="6" s="1"/>
  <c r="K124" i="5"/>
  <c r="K136" i="5" s="1"/>
  <c r="I17" i="6"/>
  <c r="I15" i="6"/>
  <c r="I59" i="5"/>
  <c r="I16" i="6"/>
  <c r="L90" i="5"/>
  <c r="P36" i="6"/>
  <c r="Q42" i="2" s="1"/>
  <c r="Q41" i="2"/>
  <c r="J17" i="6"/>
  <c r="N98" i="5"/>
  <c r="N25" i="6"/>
  <c r="N26" i="6" s="1"/>
  <c r="M69" i="5"/>
  <c r="M34" i="6"/>
  <c r="J59" i="5"/>
  <c r="J140" i="5"/>
  <c r="M101" i="5"/>
  <c r="M102" i="5" s="1"/>
  <c r="M78" i="5" s="1"/>
  <c r="M79" i="5" s="1"/>
  <c r="L122" i="5"/>
  <c r="N99" i="5"/>
  <c r="O56" i="5"/>
  <c r="O57" i="5"/>
  <c r="O62" i="5"/>
  <c r="O27" i="6" s="1"/>
  <c r="O28" i="6" s="1"/>
  <c r="N64" i="5"/>
  <c r="N100" i="5"/>
  <c r="Q108" i="5"/>
  <c r="Q58" i="5" s="1"/>
  <c r="Q29" i="6" s="1"/>
  <c r="Q46" i="5"/>
  <c r="R39" i="2" s="1"/>
  <c r="Q11" i="5"/>
  <c r="P12" i="5"/>
  <c r="P20" i="6" s="1"/>
  <c r="J15" i="6" l="1"/>
  <c r="L124" i="5"/>
  <c r="L136" i="5" s="1"/>
  <c r="K55" i="5"/>
  <c r="K16" i="6" s="1"/>
  <c r="I18" i="6"/>
  <c r="I71" i="5"/>
  <c r="I5" i="5" s="1"/>
  <c r="I40" i="6"/>
  <c r="I35" i="6"/>
  <c r="L91" i="5"/>
  <c r="L92" i="5" s="1"/>
  <c r="M47" i="2" s="1"/>
  <c r="N44" i="2"/>
  <c r="M90" i="5"/>
  <c r="J71" i="5"/>
  <c r="J5" i="5" s="1"/>
  <c r="J35" i="6"/>
  <c r="J18" i="6"/>
  <c r="J40" i="6"/>
  <c r="K15" i="6"/>
  <c r="K17" i="6"/>
  <c r="N69" i="5"/>
  <c r="N34" i="6"/>
  <c r="O98" i="5"/>
  <c r="O25" i="6"/>
  <c r="O26" i="6" s="1"/>
  <c r="O99" i="5"/>
  <c r="O23" i="6"/>
  <c r="O24" i="6" s="1"/>
  <c r="K59" i="5"/>
  <c r="K140" i="5"/>
  <c r="Q77" i="5"/>
  <c r="Q119" i="5"/>
  <c r="Q120" i="5" s="1"/>
  <c r="Q12" i="5"/>
  <c r="Q133" i="5"/>
  <c r="M122" i="5"/>
  <c r="N101" i="5"/>
  <c r="N102" i="5" s="1"/>
  <c r="N78" i="5" s="1"/>
  <c r="N79" i="5" s="1"/>
  <c r="P56" i="5"/>
  <c r="P62" i="5"/>
  <c r="P27" i="6" s="1"/>
  <c r="P28" i="6" s="1"/>
  <c r="P57" i="5"/>
  <c r="P23" i="6" s="1"/>
  <c r="P24" i="6" s="1"/>
  <c r="O64" i="5"/>
  <c r="O100" i="5"/>
  <c r="Q62" i="5" l="1"/>
  <c r="Q27" i="6" s="1"/>
  <c r="Q20" i="6"/>
  <c r="M124" i="5"/>
  <c r="M136" i="5" s="1"/>
  <c r="O44" i="2"/>
  <c r="N90" i="5"/>
  <c r="Q36" i="6"/>
  <c r="R42" i="2" s="1"/>
  <c r="R41" i="2"/>
  <c r="O101" i="5"/>
  <c r="O102" i="5" s="1"/>
  <c r="O78" i="5" s="1"/>
  <c r="O79" i="5" s="1"/>
  <c r="K71" i="5"/>
  <c r="K5" i="5" s="1"/>
  <c r="K35" i="6"/>
  <c r="K18" i="6"/>
  <c r="K40" i="6"/>
  <c r="P98" i="5"/>
  <c r="P25" i="6"/>
  <c r="P26" i="6" s="1"/>
  <c r="O69" i="5"/>
  <c r="O34" i="6"/>
  <c r="C128" i="5"/>
  <c r="Q57" i="5"/>
  <c r="Q23" i="6" s="1"/>
  <c r="Q24" i="6" s="1"/>
  <c r="Q56" i="5"/>
  <c r="R133" i="5"/>
  <c r="Q134" i="5"/>
  <c r="L55" i="5"/>
  <c r="M91" i="5"/>
  <c r="M92" i="5" s="1"/>
  <c r="N47" i="2" s="1"/>
  <c r="N122" i="5"/>
  <c r="P64" i="5"/>
  <c r="P100" i="5"/>
  <c r="P99" i="5"/>
  <c r="Q100" i="5" l="1"/>
  <c r="Q64" i="5"/>
  <c r="Q69" i="5" s="1"/>
  <c r="Q28" i="6"/>
  <c r="N124" i="5"/>
  <c r="N136" i="5" s="1"/>
  <c r="P44" i="2"/>
  <c r="O90" i="5"/>
  <c r="Q99" i="5"/>
  <c r="L17" i="6"/>
  <c r="L16" i="6"/>
  <c r="L15" i="6"/>
  <c r="Q98" i="5"/>
  <c r="Q25" i="6"/>
  <c r="Q26" i="6" s="1"/>
  <c r="O122" i="5"/>
  <c r="P69" i="5"/>
  <c r="P34" i="6"/>
  <c r="L59" i="5"/>
  <c r="L140" i="5"/>
  <c r="P101" i="5"/>
  <c r="P102" i="5" s="1"/>
  <c r="P78" i="5" s="1"/>
  <c r="P79" i="5" s="1"/>
  <c r="M55" i="5"/>
  <c r="N91" i="5"/>
  <c r="N92" i="5" s="1"/>
  <c r="O47" i="2" s="1"/>
  <c r="Q34" i="6" l="1"/>
  <c r="O124" i="5"/>
  <c r="O136" i="5" s="1"/>
  <c r="Q101" i="5"/>
  <c r="Q44" i="2"/>
  <c r="P90" i="5"/>
  <c r="Q102" i="5"/>
  <c r="Q78" i="5" s="1"/>
  <c r="Q79" i="5" s="1"/>
  <c r="Q122" i="5" s="1"/>
  <c r="M16" i="6"/>
  <c r="M15" i="6"/>
  <c r="M17" i="6"/>
  <c r="L71" i="5"/>
  <c r="L5" i="5" s="1"/>
  <c r="L35" i="6"/>
  <c r="L18" i="6"/>
  <c r="L40" i="6"/>
  <c r="M59" i="5"/>
  <c r="M140" i="5"/>
  <c r="N55" i="5"/>
  <c r="O91" i="5"/>
  <c r="O92" i="5" s="1"/>
  <c r="P47" i="2" s="1"/>
  <c r="P122" i="5"/>
  <c r="Q124" i="5" l="1"/>
  <c r="Q136" i="5" s="1"/>
  <c r="D128" i="5" s="1"/>
  <c r="B128" i="5" s="1"/>
  <c r="R136" i="5" s="1"/>
  <c r="Q138" i="5" s="1"/>
  <c r="P124" i="5"/>
  <c r="P136" i="5" s="1"/>
  <c r="R44" i="2"/>
  <c r="Q90" i="5"/>
  <c r="M71" i="5"/>
  <c r="M5" i="5" s="1"/>
  <c r="M35" i="6"/>
  <c r="M18" i="6"/>
  <c r="M40" i="6"/>
  <c r="N16" i="6"/>
  <c r="N15" i="6"/>
  <c r="N17" i="6"/>
  <c r="N59" i="5"/>
  <c r="N140" i="5"/>
  <c r="O55" i="5"/>
  <c r="P91" i="5"/>
  <c r="P92" i="5" s="1"/>
  <c r="Q47" i="2" s="1"/>
  <c r="L138" i="5" l="1"/>
  <c r="L142" i="5" s="1"/>
  <c r="O138" i="5"/>
  <c r="P138" i="5"/>
  <c r="J138" i="5"/>
  <c r="J142" i="5" s="1"/>
  <c r="O17" i="6"/>
  <c r="O15" i="6"/>
  <c r="O16" i="6"/>
  <c r="K138" i="5"/>
  <c r="K142" i="5" s="1"/>
  <c r="N138" i="5"/>
  <c r="N142" i="5" s="1"/>
  <c r="N71" i="5"/>
  <c r="N5" i="5" s="1"/>
  <c r="N35" i="6"/>
  <c r="N18" i="6"/>
  <c r="N40" i="6"/>
  <c r="H138" i="5"/>
  <c r="H142" i="5" s="1"/>
  <c r="I138" i="5"/>
  <c r="I142" i="5" s="1"/>
  <c r="M138" i="5"/>
  <c r="M142" i="5" s="1"/>
  <c r="G138" i="5"/>
  <c r="G142" i="5" s="1"/>
  <c r="O59" i="5"/>
  <c r="O140" i="5"/>
  <c r="P55" i="5"/>
  <c r="Q91" i="5"/>
  <c r="Q92" i="5" s="1"/>
  <c r="F147" i="5" l="1"/>
  <c r="P3" i="2"/>
  <c r="O142" i="5"/>
  <c r="Q55" i="5"/>
  <c r="Q15" i="6" s="1"/>
  <c r="R47" i="2"/>
  <c r="P17" i="6"/>
  <c r="P16" i="6"/>
  <c r="P15" i="6"/>
  <c r="O71" i="5"/>
  <c r="O5" i="5" s="1"/>
  <c r="O35" i="6"/>
  <c r="O18" i="6"/>
  <c r="O40" i="6"/>
  <c r="Q140" i="5"/>
  <c r="Q142" i="5" s="1"/>
  <c r="P59" i="5"/>
  <c r="P140" i="5"/>
  <c r="P142" i="5" s="1"/>
  <c r="Q59" i="5" l="1"/>
  <c r="Q17" i="6"/>
  <c r="Q16" i="6"/>
  <c r="P71" i="5"/>
  <c r="P5" i="5" s="1"/>
  <c r="P35" i="6"/>
  <c r="P18" i="6"/>
  <c r="P40" i="6"/>
  <c r="Q71" i="5"/>
  <c r="Q5" i="5" s="1"/>
  <c r="Q35" i="6"/>
  <c r="Q18" i="6"/>
  <c r="Q40" i="6"/>
</calcChain>
</file>

<file path=xl/sharedStrings.xml><?xml version="1.0" encoding="utf-8"?>
<sst xmlns="http://schemas.openxmlformats.org/spreadsheetml/2006/main" count="270" uniqueCount="160">
  <si>
    <t>Confidential [Company Name]</t>
  </si>
  <si>
    <t>[Logo]</t>
  </si>
  <si>
    <t>Table of Contents</t>
  </si>
  <si>
    <t>Financial Model</t>
  </si>
  <si>
    <t>[Company Confidential]</t>
  </si>
  <si>
    <t>Historical Analysis</t>
  </si>
  <si>
    <t>Time Periods</t>
  </si>
  <si>
    <t>BOP</t>
  </si>
  <si>
    <t>EOP</t>
  </si>
  <si>
    <t>Days</t>
  </si>
  <si>
    <t>Revenue</t>
  </si>
  <si>
    <t>Expenses</t>
  </si>
  <si>
    <t>COGS</t>
  </si>
  <si>
    <t>Salaries</t>
  </si>
  <si>
    <t>Rent</t>
  </si>
  <si>
    <t>Depreciation</t>
  </si>
  <si>
    <t>Tax Rate</t>
  </si>
  <si>
    <t>Total Operating Expenses</t>
  </si>
  <si>
    <t>Interest Expense Rate (Average Debt)</t>
  </si>
  <si>
    <t>Balance Sheet</t>
  </si>
  <si>
    <t>Inventory Days</t>
  </si>
  <si>
    <t>Accounts Receivable Days</t>
  </si>
  <si>
    <t>Accounts Payable Days</t>
  </si>
  <si>
    <t>Cash Capex % of revenue</t>
  </si>
  <si>
    <t>Depreciation % of PPE (Opening Balance)</t>
  </si>
  <si>
    <t>Change in Long-Term Debt</t>
  </si>
  <si>
    <t>Income Statement</t>
  </si>
  <si>
    <t>Cost of Goods Sold (COGS)</t>
  </si>
  <si>
    <t>Gross Profit</t>
  </si>
  <si>
    <t>Total Expenses</t>
  </si>
  <si>
    <t>Interest Expense</t>
  </si>
  <si>
    <t>Income Taxes</t>
  </si>
  <si>
    <t>Net Income</t>
  </si>
  <si>
    <t>Cash</t>
  </si>
  <si>
    <t>Accounts Receivable</t>
  </si>
  <si>
    <t>Inventory</t>
  </si>
  <si>
    <t>Property &amp; Equipment</t>
  </si>
  <si>
    <t>Assets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</si>
  <si>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</si>
  <si>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</si>
  <si>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</si>
  <si>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</si>
  <si>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</si>
  <si>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</si>
  <si>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</si>
  <si>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</si>
  <si>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</si>
  <si>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</si>
  <si>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Balance Sheet Check</t>
  </si>
  <si>
    <t>Income Before Taxes</t>
  </si>
  <si>
    <t>Cash Flow Statement</t>
  </si>
  <si>
    <t>Operating Cash Flow</t>
  </si>
  <si>
    <t>Net Earnings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</si>
  <si>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</si>
  <si>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</si>
  <si>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</si>
  <si>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</si>
  <si>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</si>
  <si>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</si>
  <si>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</si>
  <si>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</si>
  <si>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</si>
  <si>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</si>
  <si>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</si>
  <si>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</si>
  <si>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</si>
  <si>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</si>
  <si>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</si>
  <si>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</si>
  <si>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</si>
  <si>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</si>
  <si>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</si>
  <si>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</si>
  <si>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</si>
  <si>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</si>
  <si>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</si>
  <si>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</si>
  <si>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</si>
  <si>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</si>
  <si>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Name</t>
  </si>
  <si>
    <t>Description</t>
  </si>
  <si>
    <t>Number</t>
  </si>
  <si>
    <t>Live Case -&gt;</t>
  </si>
  <si>
    <t>Case Selection</t>
  </si>
  <si>
    <t>Live Case</t>
  </si>
  <si>
    <t>Base Case</t>
  </si>
  <si>
    <t>Best Case</t>
  </si>
  <si>
    <t>Worst Case</t>
  </si>
  <si>
    <t>Actuals --&gt;</t>
  </si>
  <si>
    <t>Forecast --&gt;</t>
  </si>
  <si>
    <t>Change in Capital</t>
  </si>
  <si>
    <t>Scenario Analysis</t>
  </si>
  <si>
    <t>Net Cash Provided by (used in) Operating Activities</t>
  </si>
  <si>
    <t>Purchases of Property and Equipment</t>
  </si>
  <si>
    <t>Free Cash Flow to Firm (FCFF)</t>
  </si>
  <si>
    <t>Model</t>
  </si>
  <si>
    <t>Exit Multiple</t>
  </si>
  <si>
    <t>Growth Rate</t>
  </si>
  <si>
    <t>Terminal Value (Choose Option --&gt;)</t>
  </si>
  <si>
    <t>Terminal Value in Model</t>
  </si>
  <si>
    <t>Discount Rate</t>
  </si>
  <si>
    <t>Valuation Date</t>
  </si>
  <si>
    <t>EBIT</t>
  </si>
  <si>
    <t>D&amp;A</t>
  </si>
  <si>
    <t>EBITDA</t>
  </si>
  <si>
    <t>Valuation</t>
  </si>
  <si>
    <t>Valuation Timeline</t>
  </si>
  <si>
    <t>Year Frac</t>
  </si>
  <si>
    <t>Rolling Enterprise Value (NPV)</t>
  </si>
  <si>
    <t>Plus: Cash + Marketable Securities</t>
  </si>
  <si>
    <t>Less: Debt + Capital &amp; Finance Leases</t>
  </si>
  <si>
    <t>Equity Value</t>
  </si>
  <si>
    <t>Terminal Value</t>
  </si>
  <si>
    <t>Gross Profit Ratio</t>
  </si>
  <si>
    <t>Operating Profit Ratio</t>
  </si>
  <si>
    <t>Net Profit Ratio</t>
  </si>
  <si>
    <t>Tax Ratio</t>
  </si>
  <si>
    <t>Interest Coverage Ratio</t>
  </si>
  <si>
    <t>Quick Ratio</t>
  </si>
  <si>
    <t>Current Ratio</t>
  </si>
  <si>
    <t>Total Asset Turnover Ratio</t>
  </si>
  <si>
    <t>Days in Period</t>
  </si>
  <si>
    <t>Efficiency</t>
  </si>
  <si>
    <t>Inventory Turnover Ratio</t>
  </si>
  <si>
    <t>Accounts Receivable Ratio</t>
  </si>
  <si>
    <t>Accounts Payable Ratio</t>
  </si>
  <si>
    <t>PP&amp;E Turnover Ratio</t>
  </si>
  <si>
    <t>Leverage &amp; Solvency</t>
  </si>
  <si>
    <t>Debt to Equity</t>
  </si>
  <si>
    <t>Debt to Capital</t>
  </si>
  <si>
    <t>Total Liabilities to Equity</t>
  </si>
  <si>
    <t>Total Assets to Equity</t>
  </si>
  <si>
    <t>Debt to EBITDA</t>
  </si>
  <si>
    <t>Rates of Return</t>
  </si>
  <si>
    <t>Return on Equity</t>
  </si>
  <si>
    <t>Return on Assets</t>
  </si>
  <si>
    <t>Financial Ratios</t>
  </si>
  <si>
    <t>Acid Ratio</t>
  </si>
  <si>
    <t>Base Scenario</t>
  </si>
  <si>
    <t>Best Scenario</t>
  </si>
  <si>
    <t>Worst Scenario</t>
  </si>
  <si>
    <t>Equity Valuation:</t>
  </si>
  <si>
    <t>Key Financials</t>
  </si>
  <si>
    <t>Net Profit Margin</t>
  </si>
  <si>
    <t>DEBT/EBITDA vs EBITDA</t>
  </si>
  <si>
    <t xml:space="preserve">CASH FLOW </t>
  </si>
  <si>
    <t>PROFIT MARGIN</t>
  </si>
  <si>
    <t>EXPENSES (000$)</t>
  </si>
  <si>
    <t>Live Scenario:</t>
  </si>
  <si>
    <t>Football Field Chart</t>
  </si>
  <si>
    <t>lo (bar)</t>
  </si>
  <si>
    <t>lo  (label)</t>
  </si>
  <si>
    <t>hi (bar)</t>
  </si>
  <si>
    <t>hi (label)</t>
  </si>
  <si>
    <t>DCF - Base Scenario</t>
  </si>
  <si>
    <t>DCF - Best Scenario</t>
  </si>
  <si>
    <t>DCF - Worst Scenario</t>
  </si>
  <si>
    <t>VALUATION SUMMARY</t>
  </si>
  <si>
    <t>Confidential LLC</t>
  </si>
  <si>
    <t>Financial Modeling &amp;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</si>
</sst>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0.0%"/>
    <numFmt numFmtId="166" formatCode="0.0\x"/>
    <numFmt numFmtId="167" formatCode="_(* #,##0_);_(* \(#,##0\);_(* &quot;-&quot;??_);_(@_)"/>
    <numFmt numFmtId="168" formatCode="mm/dd/yy;@"/>
    <numFmt numFmtId="169" formatCode="#,##0.0_);\(#,##0.0\)"/>
    <numFmt numFmtId="170" formatCode="_(&quot;$&quot;* #,##0_);_(&quot;$&quot;* \(#,##0\);_(&quot;$&quot;* &quot;-&quot;??_);_(@_)"/>
  </numFmts>
  <fonts count="2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12"/>
      <color theme="1"/>
      <name val="Arial Narrow"/>
      <family val="2"/>
    </font>
    <font>
      <u/>
      <sz val="11"/>
      <color theme="10"/>
      <name val="Arial Narrow"/>
      <family val="2"/>
    </font>
    <font>
      <sz val="24"/>
      <color theme="0"/>
      <name val="Arial Narrow"/>
      <family val="2"/>
    </font>
    <font>
      <b/>
      <i/>
      <sz val="20"/>
      <color theme="0"/>
      <name val="Arial Narrow"/>
      <family val="2"/>
    </font>
    <font>
      <b/>
      <u/>
      <sz val="11"/>
      <color theme="0"/>
      <name val="Arial Narrow"/>
      <family val="2"/>
    </font>
    <font>
      <b/>
      <u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i/>
      <sz val="12"/>
      <color theme="1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i/>
      <sz val="11"/>
      <color theme="1"/>
      <name val="Arial Narrow"/>
      <family val="2"/>
    </font>
    <font>
      <sz val="12"/>
      <name val="Arial Narrow"/>
      <family val="2"/>
    </font>
    <font>
      <sz val="11"/>
      <color theme="9"/>
      <name val="Arial Narrow"/>
      <family val="2"/>
    </font>
    <font>
      <sz val="11"/>
      <color theme="7"/>
      <name val="Arial Narrow"/>
      <family val="2"/>
    </font>
    <font>
      <b/>
      <sz val="11"/>
      <color theme="7"/>
      <name val="Arial Narrow"/>
      <family val="2"/>
    </font>
    <font>
      <b/>
      <sz val="12"/>
      <color theme="9"/>
      <name val="Arial Narrow"/>
      <family val="2"/>
    </font>
    <font>
      <sz val="12"/>
      <color theme="9"/>
      <name val="Arial Narrow"/>
      <family val="2"/>
    </font>
    <font>
      <b/>
      <sz val="11"/>
      <color rgb="FF0000FF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5" fillId="0" borderId="0" xfId="0" applyFont="1"/>
    <xf numFmtId="0" fontId="0" fillId="4" borderId="0" xfId="0" applyFill="1"/>
    <xf numFmtId="0" fontId="4" fillId="4" borderId="0" xfId="0" applyFont="1" applyFill="1"/>
    <xf numFmtId="0" fontId="7" fillId="4" borderId="0" xfId="0" applyFont="1" applyFill="1"/>
    <xf numFmtId="0" fontId="7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7" fillId="4" borderId="0" xfId="0" applyFont="1" applyFill="1" applyAlignment="1">
      <alignment horizontal="center" vertical="center"/>
    </xf>
    <xf numFmtId="0" fontId="4" fillId="4" borderId="5" xfId="0" applyFont="1" applyFill="1" applyBorder="1"/>
    <xf numFmtId="0" fontId="8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0" fillId="3" borderId="0" xfId="0" applyFill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9" fillId="4" borderId="0" xfId="3" applyFont="1" applyFill="1"/>
    <xf numFmtId="0" fontId="10" fillId="4" borderId="0" xfId="0" applyFont="1" applyFill="1"/>
    <xf numFmtId="0" fontId="4" fillId="2" borderId="0" xfId="0" applyFont="1" applyFill="1"/>
    <xf numFmtId="0" fontId="2" fillId="2" borderId="0" xfId="0" applyFont="1" applyFill="1"/>
    <xf numFmtId="0" fontId="1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2" fillId="0" borderId="0" xfId="0" applyFont="1"/>
    <xf numFmtId="14" fontId="12" fillId="0" borderId="0" xfId="0" applyNumberFormat="1" applyFont="1"/>
    <xf numFmtId="14" fontId="0" fillId="0" borderId="0" xfId="0" applyNumberFormat="1"/>
    <xf numFmtId="0" fontId="0" fillId="0" borderId="9" xfId="0" applyBorder="1"/>
    <xf numFmtId="0" fontId="3" fillId="0" borderId="9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left"/>
    </xf>
    <xf numFmtId="0" fontId="2" fillId="6" borderId="0" xfId="0" applyFont="1" applyFill="1"/>
    <xf numFmtId="164" fontId="13" fillId="0" borderId="9" xfId="1" applyNumberFormat="1" applyFont="1" applyBorder="1" applyProtection="1">
      <protection locked="0"/>
    </xf>
    <xf numFmtId="164" fontId="14" fillId="0" borderId="9" xfId="1" applyNumberFormat="1" applyFont="1" applyBorder="1" applyProtection="1">
      <protection locked="0"/>
    </xf>
    <xf numFmtId="0" fontId="3" fillId="0" borderId="10" xfId="0" applyFont="1" applyBorder="1"/>
    <xf numFmtId="164" fontId="5" fillId="0" borderId="0" xfId="1" applyNumberFormat="1" applyFont="1" applyProtection="1">
      <protection locked="0"/>
    </xf>
    <xf numFmtId="164" fontId="13" fillId="0" borderId="10" xfId="1" applyNumberFormat="1" applyFont="1" applyBorder="1" applyProtection="1">
      <protection locked="0"/>
    </xf>
    <xf numFmtId="164" fontId="13" fillId="0" borderId="0" xfId="1" applyNumberFormat="1" applyFont="1" applyProtection="1">
      <protection locked="0"/>
    </xf>
    <xf numFmtId="164" fontId="15" fillId="0" borderId="0" xfId="1" applyNumberFormat="1" applyFont="1" applyProtection="1">
      <protection locked="0"/>
    </xf>
    <xf numFmtId="164" fontId="17" fillId="0" borderId="0" xfId="1" applyNumberFormat="1" applyFont="1" applyBorder="1" applyProtection="1">
      <protection locked="0"/>
    </xf>
    <xf numFmtId="164" fontId="17" fillId="0" borderId="0" xfId="1" applyNumberFormat="1" applyFont="1" applyProtection="1">
      <protection locked="0"/>
    </xf>
    <xf numFmtId="164" fontId="0" fillId="0" borderId="0" xfId="0" applyNumberFormat="1"/>
    <xf numFmtId="164" fontId="5" fillId="0" borderId="0" xfId="1" applyNumberFormat="1" applyFont="1" applyAlignment="1" applyProtection="1">
      <alignment horizontal="center"/>
      <protection locked="0"/>
    </xf>
    <xf numFmtId="164" fontId="13" fillId="0" borderId="0" xfId="1" applyNumberFormat="1" applyFont="1" applyBorder="1" applyProtection="1">
      <protection locked="0"/>
    </xf>
    <xf numFmtId="164" fontId="16" fillId="0" borderId="0" xfId="1" applyNumberFormat="1" applyFont="1" applyBorder="1" applyProtection="1">
      <protection locked="0"/>
    </xf>
    <xf numFmtId="164" fontId="19" fillId="0" borderId="0" xfId="1" applyNumberFormat="1" applyFont="1" applyBorder="1" applyProtection="1">
      <protection locked="0"/>
    </xf>
    <xf numFmtId="164" fontId="13" fillId="0" borderId="9" xfId="0" applyNumberFormat="1" applyFont="1" applyBorder="1"/>
    <xf numFmtId="164" fontId="13" fillId="0" borderId="10" xfId="0" applyNumberFormat="1" applyFont="1" applyBorder="1"/>
    <xf numFmtId="2" fontId="15" fillId="0" borderId="0" xfId="0" applyNumberFormat="1" applyFont="1"/>
    <xf numFmtId="164" fontId="5" fillId="0" borderId="0" xfId="0" applyNumberFormat="1" applyFont="1"/>
    <xf numFmtId="164" fontId="5" fillId="0" borderId="9" xfId="0" applyNumberFormat="1" applyFont="1" applyBorder="1"/>
    <xf numFmtId="9" fontId="0" fillId="0" borderId="0" xfId="2" applyFont="1"/>
    <xf numFmtId="165" fontId="0" fillId="0" borderId="0" xfId="2" applyNumberFormat="1" applyFont="1"/>
    <xf numFmtId="165" fontId="3" fillId="0" borderId="0" xfId="2" applyNumberFormat="1" applyFont="1"/>
    <xf numFmtId="165" fontId="3" fillId="0" borderId="9" xfId="2" applyNumberFormat="1" applyFont="1" applyBorder="1"/>
    <xf numFmtId="37" fontId="0" fillId="0" borderId="0" xfId="0" applyNumberFormat="1"/>
    <xf numFmtId="1" fontId="0" fillId="0" borderId="0" xfId="0" applyNumberFormat="1"/>
    <xf numFmtId="0" fontId="12" fillId="0" borderId="9" xfId="0" applyFont="1" applyBorder="1"/>
    <xf numFmtId="0" fontId="0" fillId="7" borderId="11" xfId="0" applyFill="1" applyBorder="1" applyAlignment="1">
      <alignment horizontal="center"/>
    </xf>
    <xf numFmtId="0" fontId="12" fillId="0" borderId="0" xfId="0" applyFont="1"/>
    <xf numFmtId="5" fontId="0" fillId="0" borderId="0" xfId="0" applyNumberFormat="1" applyAlignment="1">
      <alignment horizontal="center"/>
    </xf>
    <xf numFmtId="165" fontId="12" fillId="7" borderId="0" xfId="0" applyNumberFormat="1" applyFont="1" applyFill="1"/>
    <xf numFmtId="165" fontId="12" fillId="0" borderId="0" xfId="0" applyNumberFormat="1" applyFont="1"/>
    <xf numFmtId="165" fontId="12" fillId="7" borderId="0" xfId="2" applyNumberFormat="1" applyFont="1" applyFill="1"/>
    <xf numFmtId="1" fontId="12" fillId="7" borderId="0" xfId="0" applyNumberFormat="1" applyFont="1" applyFill="1"/>
    <xf numFmtId="1" fontId="12" fillId="0" borderId="0" xfId="0" applyNumberFormat="1" applyFont="1"/>
    <xf numFmtId="9" fontId="12" fillId="7" borderId="0" xfId="2" applyFont="1" applyFill="1"/>
    <xf numFmtId="164" fontId="13" fillId="0" borderId="12" xfId="1" applyNumberFormat="1" applyFont="1" applyBorder="1" applyProtection="1">
      <protection locked="0"/>
    </xf>
    <xf numFmtId="164" fontId="13" fillId="0" borderId="12" xfId="0" applyNumberFormat="1" applyFont="1" applyBorder="1"/>
    <xf numFmtId="1" fontId="2" fillId="2" borderId="0" xfId="0" applyNumberFormat="1" applyFont="1" applyFill="1"/>
    <xf numFmtId="37" fontId="17" fillId="0" borderId="0" xfId="1" applyNumberFormat="1" applyFont="1" applyProtection="1">
      <protection locked="0"/>
    </xf>
    <xf numFmtId="37" fontId="17" fillId="0" borderId="0" xfId="1" applyNumberFormat="1" applyFont="1" applyBorder="1" applyProtection="1">
      <protection locked="0"/>
    </xf>
    <xf numFmtId="0" fontId="18" fillId="0" borderId="0" xfId="0" applyFont="1" applyAlignment="1">
      <alignment horizontal="right"/>
    </xf>
    <xf numFmtId="165" fontId="21" fillId="0" borderId="0" xfId="2" applyNumberFormat="1" applyFont="1" applyBorder="1"/>
    <xf numFmtId="165" fontId="21" fillId="0" borderId="0" xfId="2" applyNumberFormat="1" applyFont="1"/>
    <xf numFmtId="0" fontId="21" fillId="0" borderId="0" xfId="0" applyFont="1"/>
    <xf numFmtId="165" fontId="22" fillId="0" borderId="9" xfId="2" applyNumberFormat="1" applyFont="1" applyBorder="1"/>
    <xf numFmtId="37" fontId="21" fillId="0" borderId="0" xfId="2" applyNumberFormat="1" applyFont="1" applyBorder="1"/>
    <xf numFmtId="37" fontId="21" fillId="0" borderId="0" xfId="2" applyNumberFormat="1" applyFont="1"/>
    <xf numFmtId="9" fontId="21" fillId="0" borderId="0" xfId="2" applyFont="1" applyBorder="1"/>
    <xf numFmtId="9" fontId="21" fillId="0" borderId="0" xfId="2" applyFont="1"/>
    <xf numFmtId="14" fontId="20" fillId="0" borderId="0" xfId="0" applyNumberFormat="1" applyFont="1"/>
    <xf numFmtId="164" fontId="23" fillId="0" borderId="0" xfId="1" applyNumberFormat="1" applyFont="1" applyProtection="1">
      <protection locked="0"/>
    </xf>
    <xf numFmtId="164" fontId="24" fillId="0" borderId="0" xfId="1" applyNumberFormat="1" applyFont="1" applyBorder="1" applyProtection="1">
      <protection locked="0"/>
    </xf>
    <xf numFmtId="164" fontId="24" fillId="0" borderId="0" xfId="1" applyNumberFormat="1" applyFont="1" applyProtection="1">
      <protection locked="0"/>
    </xf>
    <xf numFmtId="0" fontId="4" fillId="6" borderId="0" xfId="0" applyFont="1" applyFill="1"/>
    <xf numFmtId="165" fontId="22" fillId="0" borderId="0" xfId="2" applyNumberFormat="1" applyFont="1" applyBorder="1"/>
    <xf numFmtId="165" fontId="22" fillId="0" borderId="0" xfId="2" applyNumberFormat="1" applyFont="1"/>
    <xf numFmtId="164" fontId="3" fillId="0" borderId="9" xfId="0" applyNumberFormat="1" applyFont="1" applyBorder="1"/>
    <xf numFmtId="0" fontId="0" fillId="0" borderId="13" xfId="0" applyBorder="1"/>
    <xf numFmtId="37" fontId="0" fillId="0" borderId="9" xfId="0" applyNumberFormat="1" applyBorder="1" applyAlignment="1">
      <alignment horizontal="right"/>
    </xf>
    <xf numFmtId="37" fontId="0" fillId="0" borderId="14" xfId="0" applyNumberFormat="1" applyBorder="1" applyAlignment="1">
      <alignment horizontal="right"/>
    </xf>
    <xf numFmtId="0" fontId="0" fillId="0" borderId="15" xfId="0" applyBorder="1"/>
    <xf numFmtId="166" fontId="12" fillId="0" borderId="9" xfId="2" applyNumberFormat="1" applyFont="1" applyBorder="1"/>
    <xf numFmtId="165" fontId="12" fillId="0" borderId="14" xfId="2" applyNumberFormat="1" applyFont="1" applyBorder="1"/>
    <xf numFmtId="37" fontId="0" fillId="0" borderId="16" xfId="0" applyNumberFormat="1" applyBorder="1"/>
    <xf numFmtId="165" fontId="12" fillId="0" borderId="0" xfId="2" applyNumberFormat="1" applyFont="1"/>
    <xf numFmtId="14" fontId="12" fillId="0" borderId="0" xfId="2" applyNumberFormat="1" applyFont="1"/>
    <xf numFmtId="0" fontId="20" fillId="7" borderId="19" xfId="0" applyFont="1" applyFill="1" applyBorder="1"/>
    <xf numFmtId="37" fontId="0" fillId="0" borderId="18" xfId="0" applyNumberFormat="1" applyBorder="1" applyAlignment="1">
      <alignment horizontal="right"/>
    </xf>
    <xf numFmtId="0" fontId="3" fillId="8" borderId="0" xfId="0" applyFont="1" applyFill="1"/>
    <xf numFmtId="0" fontId="0" fillId="8" borderId="0" xfId="0" applyFill="1"/>
    <xf numFmtId="168" fontId="0" fillId="8" borderId="0" xfId="0" applyNumberFormat="1" applyFill="1"/>
    <xf numFmtId="0" fontId="3" fillId="0" borderId="0" xfId="0" applyFont="1" applyAlignment="1">
      <alignment horizontal="right"/>
    </xf>
    <xf numFmtId="0" fontId="0" fillId="8" borderId="17" xfId="0" applyFill="1" applyBorder="1"/>
    <xf numFmtId="2" fontId="0" fillId="8" borderId="17" xfId="0" applyNumberFormat="1" applyFill="1" applyBorder="1" applyAlignment="1">
      <alignment horizontal="right"/>
    </xf>
    <xf numFmtId="2" fontId="0" fillId="8" borderId="17" xfId="0" applyNumberFormat="1" applyFill="1" applyBorder="1"/>
    <xf numFmtId="37" fontId="25" fillId="0" borderId="0" xfId="0" applyNumberFormat="1" applyFont="1"/>
    <xf numFmtId="37" fontId="3" fillId="0" borderId="0" xfId="0" applyNumberFormat="1" applyFont="1"/>
    <xf numFmtId="0" fontId="3" fillId="7" borderId="20" xfId="0" applyFont="1" applyFill="1" applyBorder="1"/>
    <xf numFmtId="0" fontId="0" fillId="7" borderId="21" xfId="0" applyFill="1" applyBorder="1"/>
    <xf numFmtId="37" fontId="3" fillId="7" borderId="21" xfId="0" applyNumberFormat="1" applyFont="1" applyFill="1" applyBorder="1"/>
    <xf numFmtId="2" fontId="20" fillId="8" borderId="17" xfId="0" applyNumberFormat="1" applyFont="1" applyFill="1" applyBorder="1"/>
    <xf numFmtId="0" fontId="2" fillId="6" borderId="0" xfId="0" applyFont="1" applyFill="1" applyAlignment="1">
      <alignment horizontal="centerContinuous"/>
    </xf>
    <xf numFmtId="0" fontId="3" fillId="0" borderId="0" xfId="0" applyFont="1" applyAlignment="1">
      <alignment horizontal="centerContinuous"/>
    </xf>
    <xf numFmtId="5" fontId="4" fillId="0" borderId="0" xfId="0" applyNumberFormat="1" applyFont="1"/>
    <xf numFmtId="165" fontId="25" fillId="0" borderId="18" xfId="2" applyNumberFormat="1" applyFont="1" applyBorder="1"/>
    <xf numFmtId="165" fontId="3" fillId="0" borderId="18" xfId="2" applyNumberFormat="1" applyFont="1" applyBorder="1"/>
    <xf numFmtId="0" fontId="3" fillId="0" borderId="16" xfId="0" applyFont="1" applyBorder="1" applyAlignment="1">
      <alignment horizontal="right"/>
    </xf>
    <xf numFmtId="166" fontId="25" fillId="0" borderId="16" xfId="0" applyNumberFormat="1" applyFont="1" applyBorder="1"/>
    <xf numFmtId="5" fontId="26" fillId="0" borderId="13" xfId="0" applyNumberFormat="1" applyFont="1" applyBorder="1"/>
    <xf numFmtId="5" fontId="26" fillId="0" borderId="9" xfId="0" applyNumberFormat="1" applyFont="1" applyBorder="1"/>
    <xf numFmtId="0" fontId="0" fillId="0" borderId="16" xfId="0" applyBorder="1" applyAlignment="1">
      <alignment horizontal="right"/>
    </xf>
    <xf numFmtId="166" fontId="3" fillId="0" borderId="16" xfId="0" applyNumberFormat="1" applyFont="1" applyBorder="1"/>
    <xf numFmtId="5" fontId="0" fillId="0" borderId="0" xfId="0" applyNumberFormat="1"/>
    <xf numFmtId="5" fontId="0" fillId="7" borderId="0" xfId="0" applyNumberFormat="1" applyFill="1"/>
    <xf numFmtId="5" fontId="0" fillId="9" borderId="0" xfId="0" applyNumberFormat="1" applyFill="1"/>
    <xf numFmtId="0" fontId="13" fillId="0" borderId="0" xfId="0" applyFont="1"/>
    <xf numFmtId="165" fontId="5" fillId="0" borderId="0" xfId="2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0" xfId="2" applyFont="1" applyBorder="1"/>
    <xf numFmtId="166" fontId="0" fillId="0" borderId="0" xfId="0" applyNumberFormat="1"/>
    <xf numFmtId="0" fontId="2" fillId="2" borderId="0" xfId="0" applyFont="1" applyFill="1" applyAlignment="1">
      <alignment horizontal="centerContinuous"/>
    </xf>
    <xf numFmtId="0" fontId="0" fillId="0" borderId="30" xfId="0" applyBorder="1"/>
    <xf numFmtId="0" fontId="14" fillId="3" borderId="31" xfId="0" applyFont="1" applyFill="1" applyBorder="1"/>
    <xf numFmtId="0" fontId="0" fillId="0" borderId="31" xfId="0" applyBorder="1"/>
    <xf numFmtId="0" fontId="0" fillId="0" borderId="31" xfId="0" applyBorder="1" applyAlignment="1">
      <alignment horizontal="centerContinuous"/>
    </xf>
    <xf numFmtId="0" fontId="0" fillId="0" borderId="32" xfId="0" applyBorder="1"/>
    <xf numFmtId="0" fontId="27" fillId="0" borderId="0" xfId="0" applyFont="1"/>
    <xf numFmtId="0" fontId="27" fillId="0" borderId="0" xfId="0" applyFont="1" applyAlignment="1">
      <alignment horizontal="right"/>
    </xf>
    <xf numFmtId="167" fontId="27" fillId="0" borderId="0" xfId="1" applyNumberFormat="1" applyFont="1"/>
    <xf numFmtId="165" fontId="5" fillId="0" borderId="0" xfId="2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0" fontId="3" fillId="0" borderId="31" xfId="4" applyNumberFormat="1" applyFont="1" applyBorder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theme="7" tint="-0.499984740745262"/>
      </font>
      <fill>
        <patternFill patternType="none">
          <bgColor auto="1"/>
        </patternFill>
      </fill>
    </dxf>
    <dxf>
      <font>
        <color rgb="FFFF0000"/>
      </font>
    </dxf>
  </dxfs>
  <tableStyles count="1" defaultTableStyle="TableStyleMedium2" defaultPivotStyle="PivotStyleLight16">
    <tableStyle name="Invisible" pivot="0" table="0" count="0" xr9:uid="{09E9AA2F-0008-40D0-A3A0-93B36F8F0A91}"/>
  </tableStyles>
  <colors>
    <mruColors>
      <color rgb="FF00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Dashboard!$I$32:$R$32</c:f>
              <c:numCache>
                <c:formatCode>#,##0_);\(#,##0\)</c:formatCode>
                <c:ptCount val="10"/>
                <c:pt idx="0">
                  <c:v>158310.6</c:v>
                </c:pt>
                <c:pt idx="1">
                  <c:v>167809.236</c:v>
                </c:pt>
                <c:pt idx="2">
                  <c:v>179555.88252000001</c:v>
                </c:pt>
                <c:pt idx="3">
                  <c:v>193920.35312160003</c:v>
                </c:pt>
                <c:pt idx="4">
                  <c:v>211373.18490254405</c:v>
                </c:pt>
                <c:pt idx="5">
                  <c:v>232510.50339279848</c:v>
                </c:pt>
                <c:pt idx="6">
                  <c:v>255761.55373207835</c:v>
                </c:pt>
                <c:pt idx="7">
                  <c:v>281337.70910528622</c:v>
                </c:pt>
                <c:pt idx="8">
                  <c:v>309471.48001581489</c:v>
                </c:pt>
                <c:pt idx="9">
                  <c:v>340418.62801739638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1-49D0-BA03-1BB101E2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6380543"/>
        <c:axId val="1216468655"/>
      </c:barChart>
      <c:lineChart>
        <c:grouping val="standard"/>
        <c:varyColors val="0"/>
        <c:ser>
          <c:idx val="1"/>
          <c:order val="1"/>
          <c:tx>
            <c:strRef>
              <c:f>Dashboard!$C$34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Dashboard!$I$34:$R$34</c:f>
              <c:numCache>
                <c:formatCode>0%</c:formatCode>
                <c:ptCount val="10"/>
                <c:pt idx="0">
                  <c:v>0.29424525277796088</c:v>
                </c:pt>
                <c:pt idx="1">
                  <c:v>0.30993440630376445</c:v>
                </c:pt>
                <c:pt idx="2">
                  <c:v>0.31832333789830403</c:v>
                </c:pt>
                <c:pt idx="3">
                  <c:v>0.34259018161537469</c:v>
                </c:pt>
                <c:pt idx="4">
                  <c:v>0.34309636612646949</c:v>
                </c:pt>
                <c:pt idx="5">
                  <c:v>0.34360766361242384</c:v>
                </c:pt>
                <c:pt idx="6">
                  <c:v>0.34407247950874592</c:v>
                </c:pt>
                <c:pt idx="7">
                  <c:v>0.34449503941449328</c:v>
                </c:pt>
                <c:pt idx="8">
                  <c:v>0.34487918478335455</c:v>
                </c:pt>
                <c:pt idx="9">
                  <c:v>0.34522840784595576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1-49D0-BA03-1BB101E2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774703"/>
        <c:axId val="1216469903"/>
      </c:lineChart>
      <c:catAx>
        <c:axId val="12363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68655"/>
        <c:crosses val="autoZero"/>
        <c:auto val="1"/>
        <c:lblAlgn val="ctr"/>
        <c:lblOffset val="100"/>
        <c:noMultiLvlLbl val="0"/>
      </c:catAx>
      <c:valAx>
        <c:axId val="1216468655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0543"/>
        <c:crosses val="autoZero"/>
        <c:crossBetween val="between"/>
      </c:valAx>
      <c:valAx>
        <c:axId val="121646990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74703"/>
        <c:crosses val="max"/>
        <c:crossBetween val="between"/>
      </c:valAx>
      <c:catAx>
        <c:axId val="1217774703"/>
        <c:scaling>
          <c:orientation val="minMax"/>
        </c:scaling>
        <c:delete val="1"/>
        <c:axPos val="b"/>
        <c:majorTickMark val="out"/>
        <c:minorTickMark val="none"/>
        <c:tickLblPos val="nextTo"/>
        <c:crossAx val="121646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Dashboard!$C$36</c:f>
              <c:strCache>
                <c:ptCount val="1"/>
                <c:pt idx="0">
                  <c:v>Salaries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Dashboard!$I$36:$R$36</c:f>
              <c:numCache>
                <c:formatCode>#,##0_);\(#,##0\)</c:formatCode>
                <c:ptCount val="10"/>
                <c:pt idx="0">
                  <c:v>26507.25</c:v>
                </c:pt>
                <c:pt idx="1">
                  <c:v>26849.477760000002</c:v>
                </c:pt>
                <c:pt idx="2">
                  <c:v>28728.941203200004</c:v>
                </c:pt>
                <c:pt idx="3">
                  <c:v>29088.052968240005</c:v>
                </c:pt>
                <c:pt idx="4">
                  <c:v>31705.977735381606</c:v>
                </c:pt>
                <c:pt idx="5">
                  <c:v>34876.57550891977</c:v>
                </c:pt>
                <c:pt idx="6">
                  <c:v>38364.233059811748</c:v>
                </c:pt>
                <c:pt idx="7">
                  <c:v>42200.656365792929</c:v>
                </c:pt>
                <c:pt idx="8">
                  <c:v>46420.722002372233</c:v>
                </c:pt>
                <c:pt idx="9">
                  <c:v>51062.794202609453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8-4BE4-B026-51FB23D48096}"/>
            </c:ext>
          </c:extLst>
        </c:ser>
        <c:ser>
          <c:idx val="1"/>
          <c:order val="1"/>
          <c:tx>
            <c:strRef>
              <c:f>Dashboard!$C$37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Dashboard!$I$37:$R$37</c:f>
              <c:numCache>
                <c:formatCode>#,##0_);\(#,##0\)</c:formatCode>
                <c:ptCount val="10"/>
                <c:pt idx="0">
                  <c:v>11982.600000000002</c:v>
                </c:pt>
                <c:pt idx="1">
                  <c:v>11746.646520000002</c:v>
                </c:pt>
                <c:pt idx="2">
                  <c:v>12568.911776400002</c:v>
                </c:pt>
                <c:pt idx="3">
                  <c:v>11635.221187296002</c:v>
                </c:pt>
                <c:pt idx="4">
                  <c:v>12682.391094152643</c:v>
                </c:pt>
                <c:pt idx="5">
                  <c:v>13950.630203567907</c:v>
                </c:pt>
                <c:pt idx="6">
                  <c:v>15345.6932239247</c:v>
                </c:pt>
                <c:pt idx="7">
                  <c:v>16880.262546317172</c:v>
                </c:pt>
                <c:pt idx="8">
                  <c:v>18568.288800948892</c:v>
                </c:pt>
                <c:pt idx="9">
                  <c:v>20425.117681043783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8-4BE4-B026-51FB23D48096}"/>
            </c:ext>
          </c:extLst>
        </c:ser>
        <c:ser>
          <c:idx val="2"/>
          <c:order val="2"/>
          <c:tx>
            <c:strRef>
              <c:f>Dashboard!$C$38</c:f>
              <c:strCache>
                <c:ptCount val="1"/>
                <c:pt idx="0">
                  <c:v>Interest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Dashboard!$I$38:$R$38</c:f>
              <c:numCache>
                <c:formatCode>#,##0_);\(#,##0\)</c:formatCode>
                <c:ptCount val="10"/>
                <c:pt idx="0">
                  <c:v>1500.0000000000005</c:v>
                </c:pt>
                <c:pt idx="1">
                  <c:v>1500.0000000000005</c:v>
                </c:pt>
                <c:pt idx="2">
                  <c:v>1500.0000000000005</c:v>
                </c:pt>
                <c:pt idx="3">
                  <c:v>1500.0000000000005</c:v>
                </c:pt>
                <c:pt idx="4">
                  <c:v>1500.0000000000005</c:v>
                </c:pt>
                <c:pt idx="5">
                  <c:v>1500.0000000000005</c:v>
                </c:pt>
                <c:pt idx="6">
                  <c:v>1500.0000000000005</c:v>
                </c:pt>
                <c:pt idx="7">
                  <c:v>1500.0000000000005</c:v>
                </c:pt>
                <c:pt idx="8">
                  <c:v>1500.0000000000005</c:v>
                </c:pt>
                <c:pt idx="9">
                  <c:v>1500.0000000000005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8-4BE4-B026-51FB23D48096}"/>
            </c:ext>
          </c:extLst>
        </c:ser>
        <c:ser>
          <c:idx val="3"/>
          <c:order val="3"/>
          <c:tx>
            <c:strRef>
              <c:f>Dashboard!$C$39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Dashboard!$I$39:$R$39</c:f>
              <c:numCache>
                <c:formatCode>#,##0_);\(#,##0\)</c:formatCode>
                <c:ptCount val="10"/>
                <c:pt idx="0">
                  <c:v>15029.402627288579</c:v>
                </c:pt>
                <c:pt idx="1">
                  <c:v>15318.044550866047</c:v>
                </c:pt>
                <c:pt idx="2">
                  <c:v>15869.596755425171</c:v>
                </c:pt>
                <c:pt idx="3">
                  <c:v>16668.333173328356</c:v>
                </c:pt>
                <c:pt idx="4">
                  <c:v>17719.56433329478</c:v>
                </c:pt>
                <c:pt idx="5">
                  <c:v>19045.224873561838</c:v>
                </c:pt>
                <c:pt idx="6">
                  <c:v>20682.219403927233</c:v>
                </c:pt>
                <c:pt idx="7">
                  <c:v>22590.074177863298</c:v>
                </c:pt>
                <c:pt idx="8">
                  <c:v>24752.950976754255</c:v>
                </c:pt>
                <c:pt idx="9">
                  <c:v>27170.621461527986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8-4BE4-B026-51FB23D4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65071"/>
        <c:axId val="1299343055"/>
      </c:areaChart>
      <c:catAx>
        <c:axId val="122086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43055"/>
        <c:crosses val="autoZero"/>
        <c:auto val="1"/>
        <c:lblAlgn val="ctr"/>
        <c:lblOffset val="100"/>
        <c:noMultiLvlLbl val="0"/>
      </c:catAx>
      <c:valAx>
        <c:axId val="1299343055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Dashboard!$C$44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3"/>
              </a:solidFill>
            </a:ln>
            <a:effectLst/>
          </c:spPr>
          <c:invertIfNegative val="0"/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Dashboard!$I$44:$R$44</c:f>
              <c:numCache>
                <c:formatCode>#,##0_);\(#,##0\)</c:formatCode>
                <c:ptCount val="10"/>
                <c:pt idx="0">
                  <c:v>60988.961535161856</c:v>
                </c:pt>
                <c:pt idx="1">
                  <c:v>66560.680557371728</c:v>
                </c:pt>
                <c:pt idx="2">
                  <c:v>72184.022253747316</c:v>
                </c:pt>
                <c:pt idx="3">
                  <c:v>82062.118049558892</c:v>
                </c:pt>
                <c:pt idx="4">
                  <c:v>88806.53466942106</c:v>
                </c:pt>
                <c:pt idx="5">
                  <c:v>97091.854237172898</c:v>
                </c:pt>
                <c:pt idx="6">
                  <c:v>106706.39208069399</c:v>
                </c:pt>
                <c:pt idx="7">
                  <c:v>117335.54615814945</c:v>
                </c:pt>
                <c:pt idx="8">
                  <c:v>129163.72398271871</c:v>
                </c:pt>
                <c:pt idx="9">
                  <c:v>141990.42304113702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F-4A20-874B-30DB827B9F86}"/>
            </c:ext>
          </c:extLst>
        </c:ser>
        <c:ser>
          <c:idx val="1"/>
          <c:order val="1"/>
          <c:tx>
            <c:strRef>
              <c:f>Dashboard!$C$45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Dashboard!$I$45:$R$45</c:f>
              <c:numCache>
                <c:formatCode>#,##0_);\(#,##0\)</c:formatCode>
                <c:ptCount val="10"/>
                <c:pt idx="0">
                  <c:v>-15750</c:v>
                </c:pt>
                <c:pt idx="1">
                  <c:v>-16695</c:v>
                </c:pt>
                <c:pt idx="2">
                  <c:v>-17863.650000000001</c:v>
                </c:pt>
                <c:pt idx="3">
                  <c:v>-19292.742000000002</c:v>
                </c:pt>
                <c:pt idx="4">
                  <c:v>-21029.088780000002</c:v>
                </c:pt>
                <c:pt idx="5">
                  <c:v>-23131.997658000008</c:v>
                </c:pt>
                <c:pt idx="6">
                  <c:v>-25445.197423800011</c:v>
                </c:pt>
                <c:pt idx="7">
                  <c:v>-27989.717166180013</c:v>
                </c:pt>
                <c:pt idx="8">
                  <c:v>-30788.688882798018</c:v>
                </c:pt>
                <c:pt idx="9">
                  <c:v>-33867.557771077823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F-4A20-874B-30DB827B9F86}"/>
            </c:ext>
          </c:extLst>
        </c:ser>
        <c:ser>
          <c:idx val="2"/>
          <c:order val="2"/>
          <c:tx>
            <c:strRef>
              <c:f>Dashboard!$C$46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Dashboard!$I$46:$R$46</c:f>
              <c:numCache>
                <c:formatCode>#,##0_);\(#,##0\)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F-4A20-874B-30DB827B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3600127"/>
        <c:axId val="1241516815"/>
      </c:barChart>
      <c:lineChart>
        <c:grouping val="standard"/>
        <c:varyColors val="0"/>
        <c:ser>
          <c:idx val="3"/>
          <c:order val="3"/>
          <c:tx>
            <c:strRef>
              <c:f>Dashboard!$C$47</c:f>
              <c:strCache>
                <c:ptCount val="1"/>
                <c:pt idx="0">
                  <c:v>Closing Cash Balance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Dashboard!$I$47:$R$47</c:f>
              <c:numCache>
                <c:formatCode>#,##0_);\(#,##0\)</c:formatCode>
                <c:ptCount val="10"/>
                <c:pt idx="0">
                  <c:v>184788.48190034676</c:v>
                </c:pt>
                <c:pt idx="1">
                  <c:v>234654.16245771848</c:v>
                </c:pt>
                <c:pt idx="2">
                  <c:v>288974.53471146582</c:v>
                </c:pt>
                <c:pt idx="3">
                  <c:v>351743.91076102469</c:v>
                </c:pt>
                <c:pt idx="4">
                  <c:v>419521.35665044573</c:v>
                </c:pt>
                <c:pt idx="5">
                  <c:v>493481.21322961862</c:v>
                </c:pt>
                <c:pt idx="6">
                  <c:v>574742.40788651258</c:v>
                </c:pt>
                <c:pt idx="7">
                  <c:v>664088.23687848204</c:v>
                </c:pt>
                <c:pt idx="8">
                  <c:v>762463.27197840274</c:v>
                </c:pt>
                <c:pt idx="9">
                  <c:v>870586.13724846195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F-4A20-874B-30DB827B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9871"/>
        <c:axId val="1042569759"/>
      </c:lineChart>
      <c:catAx>
        <c:axId val="12336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6815"/>
        <c:crosses val="autoZero"/>
        <c:auto val="1"/>
        <c:lblAlgn val="ctr"/>
        <c:lblOffset val="100"/>
        <c:noMultiLvlLbl val="0"/>
      </c:catAx>
      <c:valAx>
        <c:axId val="1241516815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0127"/>
        <c:crosses val="autoZero"/>
        <c:crossBetween val="between"/>
      </c:valAx>
      <c:valAx>
        <c:axId val="1042569759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89871"/>
        <c:crosses val="max"/>
        <c:crossBetween val="between"/>
      </c:valAx>
      <c:catAx>
        <c:axId val="1220889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042569759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Dashboard!$C$41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Dashboard!$I$31:$R$31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Dashboard!$I$41:$R$41</c:f>
              <c:numCache>
                <c:formatCode>#,##0_);\(#,##0\)</c:formatCode>
                <c:ptCount val="10"/>
                <c:pt idx="0">
                  <c:v>75304.652627288582</c:v>
                </c:pt>
                <c:pt idx="1">
                  <c:v>82441.738950866042</c:v>
                </c:pt>
                <c:pt idx="2">
                  <c:v>89487.508588625176</c:v>
                </c:pt>
                <c:pt idx="3">
                  <c:v>101993.28854683238</c:v>
                </c:pt>
                <c:pt idx="4">
                  <c:v>110723.76569041418</c:v>
                </c:pt>
                <c:pt idx="5">
                  <c:v>121349.84636639318</c:v>
                </c:pt>
                <c:pt idx="6">
                  <c:v>133217.30304604172</c:v>
                </c:pt>
                <c:pt idx="7">
                  <c:v>146378.66618418926</c:v>
                </c:pt>
                <c:pt idx="8">
                  <c:v>160920.40218371281</c:v>
                </c:pt>
                <c:pt idx="9">
                  <c:v>176954.81778918242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2-4B37-9F3C-641DE40C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220600943"/>
        <c:axId val="759916783"/>
      </c:barChart>
      <c:lineChart>
        <c:grouping val="standard"/>
        <c:varyColors val="0"/>
        <c:ser>
          <c:idx val="1"/>
          <c:order val="1"/>
          <c:tx>
            <c:strRef>
              <c:f>Dashboard!$C$42</c:f>
              <c:strCache>
                <c:ptCount val="1"/>
                <c:pt idx="0">
                  <c:v>Debt to EBITDA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Dashboard!$I$42:$R$42</c:f>
              <c:numCache>
                <c:formatCode>0.0\x</c:formatCode>
                <c:ptCount val="10"/>
                <c:pt idx="0">
                  <c:v>0.39838175933805098</c:v>
                </c:pt>
                <c:pt idx="1">
                  <c:v>0.363893343126587</c:v>
                </c:pt>
                <c:pt idx="2">
                  <c:v>0.33524232010872329</c:v>
                </c:pt>
                <c:pt idx="3">
                  <c:v>0.29413700085005956</c:v>
                </c:pt>
                <c:pt idx="4">
                  <c:v>0.27094454214897817</c:v>
                </c:pt>
                <c:pt idx="5">
                  <c:v>0.2472191016164999</c:v>
                </c:pt>
                <c:pt idx="6">
                  <c:v>0.22519597164965574</c:v>
                </c:pt>
                <c:pt idx="7">
                  <c:v>0.20494789836553645</c:v>
                </c:pt>
                <c:pt idx="8">
                  <c:v>0.18642757284281999</c:v>
                </c:pt>
                <c:pt idx="9">
                  <c:v>0.16953480201788529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2-4B37-9F3C-641DE40C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86479"/>
        <c:axId val="1241518063"/>
      </c:lineChart>
      <c:catAx>
        <c:axId val="12206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6783"/>
        <c:crosses val="autoZero"/>
        <c:auto val="1"/>
        <c:lblAlgn val="ctr"/>
        <c:lblOffset val="100"/>
        <c:noMultiLvlLbl val="0"/>
      </c:catAx>
      <c:valAx>
        <c:axId val="759916783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00943"/>
        <c:crosses val="autoZero"/>
        <c:crossBetween val="between"/>
      </c:valAx>
      <c:valAx>
        <c:axId val="1241518063"/>
        <c:scaling>
          <c:orientation val="minMax"/>
        </c:scaling>
        <c:delete val="0"/>
        <c:axPos val="r"/>
        <c:numFmt formatCode="0.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6479"/>
        <c:crosses val="max"/>
        <c:crossBetween val="between"/>
      </c:valAx>
      <c:catAx>
        <c:axId val="1449486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518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Dashboard!$W$23</c:f>
              <c:strCache>
                <c:ptCount val="1"/>
                <c:pt idx="0">
                  <c:v>lo (bar)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888888888888884E-2"/>
                  <c:y val="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B6-42CA-B814-9DD5EEF486B9}"/>
                </c:ext>
              </c:extLst>
            </c:dLbl>
            <c:dLbl>
              <c:idx val="1"/>
              <c:layout>
                <c:manualLayout>
                  <c:x val="-6.9216704342423843E-2"/>
                  <c:y val="5.05644732238611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B6-42CA-B814-9DD5EEF486B9}"/>
                </c:ext>
              </c:extLst>
            </c:dLbl>
            <c:dLbl>
              <c:idx val="2"/>
              <c:layout>
                <c:manualLayout>
                  <c:x val="-6.3888888888888884E-2"/>
                  <c:y val="4.629629629629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B6-42CA-B814-9DD5EEF48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Dashboard!$S$24:$S$26</c:f>
              <c:strCache>
                <c:ptCount val="3"/>
                <c:pt idx="0">
                  <c:v>DCF - Base Scenario</c:v>
                </c:pt>
                <c:pt idx="1">
                  <c:v>DCF - Best Scenario</c:v>
                </c:pt>
                <c:pt idx="2">
                  <c:v>DCF - Worst Scenario</c:v>
                </c:pt>
              </c:strCache>
            </c:strRef>
          </c:cat>
          <c:val>
            <c:numRef>
              <c:f>Dashboard!$W$24:$W$26</c:f>
              <c:numCache>
                <c:formatCode>_(* #,##0_);_(* \(#,##0\);_(* "-"??_);_(@_)</c:formatCode>
                <c:ptCount val="3"/>
                <c:pt idx="0">
                  <c:v>828632.78345470619</c:v>
                </c:pt>
                <c:pt idx="1">
                  <c:v>1034390.6999468254</c:v>
                </c:pt>
                <c:pt idx="2">
                  <c:v>457619.06808639609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6-42CA-B814-9DD5EEF486B9}"/>
            </c:ext>
          </c:extLst>
        </c:ser>
        <c:ser>
          <c:idx val="1"/>
          <c:order val="1"/>
          <c:tx>
            <c:strRef>
              <c:f>Dashboard!$X$23</c:f>
              <c:strCache>
                <c:ptCount val="1"/>
                <c:pt idx="0">
                  <c:v>lo  (label)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Dashboard!$S$24:$S$26</c:f>
              <c:strCache>
                <c:ptCount val="3"/>
                <c:pt idx="0">
                  <c:v>DCF - Base Scenario</c:v>
                </c:pt>
                <c:pt idx="1">
                  <c:v>DCF - Best Scenario</c:v>
                </c:pt>
                <c:pt idx="2">
                  <c:v>DCF - Worst Scenario</c:v>
                </c:pt>
              </c:strCache>
            </c:strRef>
          </c:cat>
          <c:val>
            <c:numRef>
              <c:f>Dashboard!$X$24:$X$26</c:f>
              <c:numCache>
                <c:formatCode>_(* #,##0_);_(* \(#,##0\);_(* "-"??_);_(@_)</c:formatCode>
                <c:ptCount val="3"/>
                <c:pt idx="0">
                  <c:v>828632.78345470619</c:v>
                </c:pt>
                <c:pt idx="1">
                  <c:v>1034390.6999468254</c:v>
                </c:pt>
                <c:pt idx="2">
                  <c:v>457619.06808639609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6-42CA-B814-9DD5EEF486B9}"/>
            </c:ext>
          </c:extLst>
        </c:ser>
        <c:ser>
          <c:idx val="2"/>
          <c:order val="2"/>
          <c:tx>
            <c:strRef>
              <c:f>Dashboard!$Y$23</c:f>
              <c:strCache>
                <c:ptCount val="1"/>
                <c:pt idx="0">
                  <c:v>hi (bar)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Dashboard!$S$24:$S$26</c:f>
              <c:strCache>
                <c:ptCount val="3"/>
                <c:pt idx="0">
                  <c:v>DCF - Base Scenario</c:v>
                </c:pt>
                <c:pt idx="1">
                  <c:v>DCF - Best Scenario</c:v>
                </c:pt>
                <c:pt idx="2">
                  <c:v>DCF - Worst Scenario</c:v>
                </c:pt>
              </c:strCache>
            </c:strRef>
          </c:cat>
          <c:val>
            <c:numRef>
              <c:f>Dashboard!$Y$24:$Y$26</c:f>
              <c:numCache>
                <c:formatCode>_(* #,##0_);_(* \(#,##0\);_(* "-"??_);_(@_)</c:formatCode>
                <c:ptCount val="3"/>
                <c:pt idx="0">
                  <c:v>1390109.0130836191</c:v>
                </c:pt>
                <c:pt idx="1">
                  <c:v>1756323.5709134194</c:v>
                </c:pt>
                <c:pt idx="2">
                  <c:v>673007.15496576868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6-42CA-B814-9DD5EEF486B9}"/>
            </c:ext>
          </c:extLst>
        </c:ser>
        <c:ser>
          <c:idx val="3"/>
          <c:order val="3"/>
          <c:tx>
            <c:strRef>
              <c:f>Dashboard!$Z$23</c:f>
              <c:strCache>
                <c:ptCount val="1"/>
                <c:pt idx="0">
                  <c:v>hi (label)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222222222222215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B6-42CA-B814-9DD5EEF486B9}"/>
                </c:ext>
              </c:extLst>
            </c:dLbl>
            <c:dLbl>
              <c:idx val="1"/>
              <c:layout>
                <c:manualLayout>
                  <c:x val="-5.9699442634392821E-2"/>
                  <c:y val="-4.6296181155725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B6-42CA-B814-9DD5EEF486B9}"/>
                </c:ext>
              </c:extLst>
            </c:dLbl>
            <c:dLbl>
              <c:idx val="2"/>
              <c:layout>
                <c:manualLayout>
                  <c:x val="-5.6010846120267119E-2"/>
                  <c:y val="-3.4214225914985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B6-42CA-B814-9DD5EEF48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Dashboard!$S$24:$S$26</c:f>
              <c:strCache>
                <c:ptCount val="3"/>
                <c:pt idx="0">
                  <c:v>DCF - Base Scenario</c:v>
                </c:pt>
                <c:pt idx="1">
                  <c:v>DCF - Best Scenario</c:v>
                </c:pt>
                <c:pt idx="2">
                  <c:v>DCF - Worst Scenario</c:v>
                </c:pt>
              </c:strCache>
            </c:strRef>
          </c:cat>
          <c:val>
            <c:numRef>
              <c:f>Dashboard!$Z$24:$Z$26</c:f>
              <c:numCache>
                <c:formatCode>_(* #,##0_);_(* \(#,##0\);_(* "-"??_);_(@_)</c:formatCode>
                <c:ptCount val="3"/>
                <c:pt idx="0">
                  <c:v>1390109.0130836191</c:v>
                </c:pt>
                <c:pt idx="1">
                  <c:v>1756323.5709134194</c:v>
                </c:pt>
                <c:pt idx="2">
                  <c:v>673007.15496576868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6-42CA-B814-9DD5EEF4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972365215"/>
        <c:axId val="1087420687"/>
      </c:stockChart>
      <c:catAx>
        <c:axId val="9723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20687"/>
        <c:crosses val="autoZero"/>
        <c:auto val="1"/>
        <c:lblAlgn val="ctr"/>
        <c:lblOffset val="100"/>
        <c:noMultiLvlLbl val="0"/>
      </c:catAx>
      <c:valAx>
        <c:axId val="10874206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3" dropStyle="combo" dx="31" fmlaLink="'Scenario Analysis'!$K$17" fmlaRange="'Scenario Analysis'!$C$17:$C$19" sel="1" val="0"/>
</file>

<file path=xl/ctrlProps/ctrlProp2.xml><?xml version="1.0" encoding="utf-8"?>
<formControlPr xmlns="http://schemas.microsoft.com/office/spreadsheetml/2009/9/main" objectType="Drop" dropLines="3" dropStyle="combo" dx="31" fmlaLink="'Scenario Analysis'!$K$17" fmlaRange="'Scenario Analysis'!$C$17:$C$19" sel="1" val="0"/>
</file>

<file path=xl/ctrlProps/ctrlProp3.xml><?xml version="1.0" encoding="utf-8"?>
<formControlPr xmlns="http://schemas.microsoft.com/office/spreadsheetml/2009/9/main" objectType="Drop" dropLines="3" dropStyle="combo" dx="31" fmlaLink="'Scenario Analysis'!$K$17" fmlaRange="'Scenario Analysis'!$C$17:$C$19" sel="1" val="0"/>
</file>

<file path=xl/ctrlProps/ctrlProp4.xml><?xml version="1.0" encoding="utf-8"?>
<formControlPr xmlns="http://schemas.microsoft.com/office/spreadsheetml/2009/9/main" objectType="Drop" dropLines="3" dropStyle="combo" dx="31" fmlaLink="$K$17" fmlaRange="$C$17:$C$19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</xdr:colOff>
      <xdr:row>5</xdr:row>
      <xdr:rowOff>25401</xdr:rowOff>
    </xdr:from>
    <xdr:to>
      <xdr:col>8</xdr:col>
      <xdr:colOff>25400</xdr:colOff>
      <xdr:row>13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15</xdr:row>
      <xdr:rowOff>59266</xdr:rowOff>
    </xdr:from>
    <xdr:to>
      <xdr:col>7</xdr:col>
      <xdr:colOff>550334</xdr:colOff>
      <xdr:row>28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553358</xdr:colOff>
      <xdr:row>5</xdr:row>
      <xdr:rowOff>54428</xdr:rowOff>
    </xdr:from>
    <xdr:to>
      <xdr:col>17</xdr:col>
      <xdr:colOff>18143</xdr:colOff>
      <xdr:row>26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548821</xdr:colOff>
      <xdr:row>5</xdr:row>
      <xdr:rowOff>102505</xdr:rowOff>
    </xdr:from>
    <xdr:to>
      <xdr:col>25</xdr:col>
      <xdr:colOff>553357</xdr:colOff>
      <xdr:row>20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285750</xdr:colOff>
          <xdr:row>1</xdr:row>
          <xdr:rowOff>69850</xdr:rowOff>
        </xdr:from>
        <xdr:to>
          <xdr:col>22</xdr:col>
          <xdr:colOff>247650</xdr:colOff>
          <xdr:row>2</xdr:row>
          <xdr:rowOff>171450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108858</xdr:colOff>
      <xdr:row>31</xdr:row>
      <xdr:rowOff>27214</xdr:rowOff>
    </xdr:from>
    <xdr:to>
      <xdr:col>27</xdr:col>
      <xdr:colOff>90715</xdr:colOff>
      <xdr:row>47</xdr:row>
      <xdr:rowOff>99786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18142</xdr:colOff>
      <xdr:row>38</xdr:row>
      <xdr:rowOff>136071</xdr:rowOff>
    </xdr:from>
    <xdr:to>
      <xdr:col>26</xdr:col>
      <xdr:colOff>453571</xdr:colOff>
      <xdr:row>38</xdr:row>
      <xdr:rowOff>136071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0785928" y="6994071"/>
          <a:ext cx="4136572" cy="0"/>
        </a:xfrm>
        <a:prstGeom prst="line">
          <a:avLst/>
        </a:prstGeom>
        <a:ln w="28575"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127000</xdr:colOff>
      <xdr:row>37</xdr:row>
      <xdr:rowOff>99786</xdr:rowOff>
    </xdr:from>
    <xdr:to>
      <xdr:col>27</xdr:col>
      <xdr:colOff>27214</xdr:colOff>
      <xdr:row>38</xdr:row>
      <xdr:rowOff>172357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3951857" y="6776357"/>
          <a:ext cx="1106714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 b="1">
              <a:solidFill>
                <a:schemeClr val="accent3"/>
              </a:solidFill>
              <a:latin typeface="Arial Narrow" panose="020B0606020202030204" pitchFamily="34" charset="0"/>
            </a:rPr>
            <a:t>Average = 1.023.347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211668</xdr:colOff>
      <xdr:row>128</xdr:row>
      <xdr:rowOff>118535</xdr:rowOff>
    </xdr:from>
    <xdr:to>
      <xdr:col>6</xdr:col>
      <xdr:colOff>719668</xdr:colOff>
      <xdr:row>131</xdr:row>
      <xdr:rowOff>27767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7135" y="24621068"/>
          <a:ext cx="508000" cy="442632"/>
        </a:xfrm>
        <a:prstGeom prst="downArrow">
          <a:avLst/>
        </a:prstGeom>
        <a:solidFill>
          <a:srgbClr val="132E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59268</xdr:colOff>
      <xdr:row>128</xdr:row>
      <xdr:rowOff>118535</xdr:rowOff>
    </xdr:from>
    <xdr:to>
      <xdr:col>18</xdr:col>
      <xdr:colOff>8468</xdr:colOff>
      <xdr:row>131</xdr:row>
      <xdr:rowOff>27767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740468" y="24621068"/>
          <a:ext cx="508000" cy="442632"/>
        </a:xfrm>
        <a:prstGeom prst="downArrow">
          <a:avLst/>
        </a:prstGeom>
        <a:solidFill>
          <a:srgbClr val="132E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0</xdr:row>
          <xdr:rowOff>95250</xdr:rowOff>
        </xdr:from>
        <xdr:to>
          <xdr:col>4</xdr:col>
          <xdr:colOff>546100</xdr:colOff>
          <xdr:row>2</xdr:row>
          <xdr:rowOff>25400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0</xdr:row>
          <xdr:rowOff>95250</xdr:rowOff>
        </xdr:from>
        <xdr:to>
          <xdr:col>4</xdr:col>
          <xdr:colOff>546100</xdr:colOff>
          <xdr:row>2</xdr:row>
          <xdr:rowOff>25400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0</xdr:row>
          <xdr:rowOff>95250</xdr:rowOff>
        </xdr:from>
        <xdr:to>
          <xdr:col>4</xdr:col>
          <xdr:colOff>584200</xdr:colOff>
          <xdr:row>2</xdr:row>
          <xdr:rowOff>25400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Jonathan">
      <a:dk1>
        <a:sysClr val="windowText" lastClr="000000"/>
      </a:dk1>
      <a:lt1>
        <a:sysClr val="window" lastClr="FFFFFF"/>
      </a:lt1>
      <a:dk2>
        <a:srgbClr val="171163"/>
      </a:dk2>
      <a:lt2>
        <a:srgbClr val="E7E6E6"/>
      </a:lt2>
      <a:accent1>
        <a:srgbClr val="171163"/>
      </a:accent1>
      <a:accent2>
        <a:srgbClr val="325765"/>
      </a:accent2>
      <a:accent3>
        <a:srgbClr val="BFBBF3"/>
      </a:accent3>
      <a:accent4>
        <a:srgbClr val="5BA66E"/>
      </a:accent4>
      <a:accent5>
        <a:srgbClr val="EF820D"/>
      </a:accent5>
      <a:accent6>
        <a:srgbClr val="0000FF"/>
      </a:accent6>
      <a:hlink>
        <a:srgbClr val="564977"/>
      </a:hlink>
      <a:folHlink>
        <a:srgbClr val="4135D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E86B-3D53-47CC-B189-428B30217E0B}">
  <dimension ref="A1:T23"/>
  <sheetViews>
    <sheetView showGridLines="0" tabSelected="1" zoomScale="80" zoomScaleNormal="80" workbookViewId="0"/>
  </sheetViews>
  <sheetFormatPr defaultRowHeight="14" x14ac:dyDescent="0.3"/>
  <cols>
    <col min="1" max="2" width="8.796875" style="15"/>
    <col min="3" max="3" width="18.09765625" style="15" bestFit="1" customWidth="1"/>
    <col min="4" max="4" width="10.296875" style="15" bestFit="1" customWidth="1"/>
    <col min="5" max="18" width="8.796875" style="15"/>
    <col min="19" max="19" width="8.69921875" style="15" customWidth="1"/>
    <col min="20" max="20" width="3.69921875" style="15" customWidth="1"/>
    <col min="21" max="16384" width="8.796875" style="15"/>
  </cols>
  <sheetData>
    <row r="1" spans="1:2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7"/>
    </row>
    <row r="2" spans="1:20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7"/>
    </row>
    <row r="3" spans="1:20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7"/>
    </row>
    <row r="4" spans="1:20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7"/>
    </row>
    <row r="5" spans="1:20" ht="30.5" x14ac:dyDescent="0.65">
      <c r="A5" s="2"/>
      <c r="B5" s="3"/>
      <c r="C5" s="4" t="s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6"/>
      <c r="R5" s="7"/>
      <c r="S5" s="3"/>
      <c r="T5" s="17"/>
    </row>
    <row r="6" spans="1:20" ht="30.5" x14ac:dyDescent="0.3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8"/>
      <c r="Q6" s="9" t="s">
        <v>1</v>
      </c>
      <c r="R6" s="10"/>
      <c r="S6" s="3"/>
      <c r="T6" s="17"/>
    </row>
    <row r="7" spans="1:20" ht="25" x14ac:dyDescent="0.5">
      <c r="A7" s="2"/>
      <c r="B7" s="3"/>
      <c r="C7" s="11" t="s">
        <v>159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2"/>
      <c r="Q7" s="13"/>
      <c r="R7" s="14"/>
      <c r="S7" s="3"/>
      <c r="T7" s="17"/>
    </row>
    <row r="8" spans="1:20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7"/>
    </row>
    <row r="9" spans="1:20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7"/>
    </row>
    <row r="10" spans="1:20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17"/>
    </row>
    <row r="11" spans="1:20" ht="15.5" x14ac:dyDescent="0.35">
      <c r="A11" s="2"/>
      <c r="B11" s="3"/>
      <c r="C11" s="20" t="s">
        <v>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7"/>
    </row>
    <row r="12" spans="1:20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7"/>
    </row>
    <row r="13" spans="1:20" x14ac:dyDescent="0.3">
      <c r="A13" s="2"/>
      <c r="B13" s="3"/>
      <c r="C13" s="19" t="str">
        <f ca="1">RIGHT(CELL("filename",A1),LEN(CELL("filename",A1))-FIND("]",CELL("filename",A1)))</f>
        <v>Introduction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7"/>
    </row>
    <row r="14" spans="1:20" x14ac:dyDescent="0.3">
      <c r="A14" s="2"/>
      <c r="B14" s="3"/>
      <c r="C14" s="19" t="str">
        <f ca="1">RIGHT(CELL("filename",Dashboard!A4),LEN(CELL("filename",Dashboard!A4))-FIND("]",CELL("filename",Dashboard!A4)))</f>
        <v>Dashboard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7"/>
    </row>
    <row r="15" spans="1:20" x14ac:dyDescent="0.3">
      <c r="A15" s="2"/>
      <c r="B15" s="3"/>
      <c r="C15" s="19" t="str">
        <f ca="1">RIGHT(CELL("filename",'Financial Model'!A1),LEN(CELL("filename",'Financial Model'!A1))-FIND("]",CELL("filename",'Financial Model'!A1)))</f>
        <v>Financial Model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7"/>
    </row>
    <row r="16" spans="1:20" x14ac:dyDescent="0.3">
      <c r="A16" s="2"/>
      <c r="B16" s="3"/>
      <c r="C16" s="19" t="str">
        <f ca="1">RIGHT(CELL("filename",'Financial Ratios'!A4),LEN(CELL("filename",'Financial Ratios'!A4))-FIND("]",CELL("filename",'Financial Ratios'!A4)))</f>
        <v>Financial Ratios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7"/>
    </row>
    <row r="17" spans="1:20" x14ac:dyDescent="0.3">
      <c r="A17" s="2"/>
      <c r="B17" s="3"/>
      <c r="C17" s="19" t="str">
        <f ca="1">RIGHT(CELL("filename",'Scenario Analysis'!A4),LEN(CELL("filename",'Scenario Analysis'!A4))-FIND("]",CELL("filename",'Scenario Analysis'!A4)))</f>
        <v>Scenario Analysis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7"/>
    </row>
    <row r="18" spans="1:20" x14ac:dyDescent="0.3">
      <c r="A18" s="2"/>
      <c r="B18" s="3"/>
      <c r="C18" s="1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7"/>
    </row>
    <row r="19" spans="1:20" x14ac:dyDescent="0.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7"/>
    </row>
    <row r="20" spans="1:20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7"/>
    </row>
    <row r="21" spans="1:20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7"/>
    </row>
    <row r="22" spans="1:20" x14ac:dyDescent="0.3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</row>
    <row r="23" spans="1:20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</sheetData>
  <sheetProtection algorithmName="SHA-512" hashValue="7rv3Z1t5KV+dbJucR5e/Iq5JAGwe6+zNimvCh305ExT/XP70cc6GvHZ43RG91RoXoJecQjT7g/lkDfwwlAZeTA==" saltValue="H4HficqVqosi8No4z99PCw==" spinCount="100000" sheet="1" objects="1" scenarios="1" selectLockedCells="1" selectUnlockedCells="1"/>
  <hyperlinks>
    <hyperlink ref="C13" location="Introduction!A1" display="Introduction!A1" xr:uid="{705B017F-C661-4575-A83D-4FBC254611E3}"/>
    <hyperlink ref="C14" location="Dashboard!A1" display="Dashboard!A1" xr:uid="{C450B786-EE55-48AB-8CBA-BB1818EFACCE}"/>
    <hyperlink ref="C15" location="'Financial Model'!A1" display="'Financial Model'!A1" xr:uid="{25EE360F-1342-4336-B3D8-7146B4A6A342}"/>
    <hyperlink ref="C16" location="'Financial Ratios'!A1" display="'Financial Ratios'!A1" xr:uid="{0B3B20DF-7245-47C5-B25D-1BEAD23BAFA8}"/>
    <hyperlink ref="C17" location="'Scenario Analysis'!A1" display="'Scenario Analysis'!A1" xr:uid="{B58102A2-CDB5-44A5-9A07-F514C957A99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F413-5F07-4110-8BD9-A8DDABFB75A8}">
  <sheetPr>
    <pageSetUpPr fitToPage="1"/>
  </sheetPr>
  <dimension ref="B1:AA48"/>
  <sheetViews>
    <sheetView showGridLines="0" zoomScale="70" zoomScaleNormal="70" workbookViewId="0"/>
  </sheetViews>
  <sheetFormatPr defaultRowHeight="14" x14ac:dyDescent="0.3"/>
  <cols>
    <col min="1" max="2" width="2.69921875" customWidth="1"/>
    <col min="3" max="3" width="19.69921875" bestFit="1" customWidth="1"/>
    <col min="16" max="16" width="14.19921875" bestFit="1" customWidth="1"/>
    <col min="19" max="19" width="2.69921875" customWidth="1"/>
    <col min="23" max="26" width="10.09765625" bestFit="1" customWidth="1"/>
  </cols>
  <sheetData>
    <row r="1" spans="2:27" ht="14.5" thickBot="1" x14ac:dyDescent="0.35"/>
    <row r="2" spans="2:27" x14ac:dyDescent="0.3"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5"/>
    </row>
    <row r="3" spans="2:27" ht="16" thickBot="1" x14ac:dyDescent="0.4">
      <c r="B3" s="144"/>
      <c r="C3" s="145" t="s">
        <v>1</v>
      </c>
      <c r="D3" s="146"/>
      <c r="E3" s="146"/>
      <c r="F3" s="145" t="s">
        <v>158</v>
      </c>
      <c r="G3" s="146"/>
      <c r="H3" s="146"/>
      <c r="I3" s="146"/>
      <c r="J3" s="146"/>
      <c r="K3" s="146"/>
      <c r="L3" s="146"/>
      <c r="M3" s="145" t="s">
        <v>141</v>
      </c>
      <c r="N3" s="147"/>
      <c r="O3" s="146"/>
      <c r="P3" s="157">
        <f>'Financial Model'!G142</f>
        <v>1071357.6374748847</v>
      </c>
      <c r="Q3" s="146"/>
      <c r="R3" s="146"/>
      <c r="S3" s="145" t="s">
        <v>148</v>
      </c>
      <c r="T3" s="146"/>
      <c r="U3" s="146"/>
      <c r="V3" s="146"/>
      <c r="W3" s="146"/>
      <c r="X3" s="146"/>
      <c r="Y3" s="146"/>
      <c r="Z3" s="146"/>
      <c r="AA3" s="148"/>
    </row>
    <row r="4" spans="2:27" x14ac:dyDescent="0.3">
      <c r="B4" s="136"/>
      <c r="AA4" s="137"/>
    </row>
    <row r="5" spans="2:27" x14ac:dyDescent="0.3">
      <c r="B5" s="136"/>
      <c r="C5" s="143" t="s">
        <v>146</v>
      </c>
      <c r="D5" s="143"/>
      <c r="E5" s="143"/>
      <c r="F5" s="143"/>
      <c r="G5" s="143"/>
      <c r="H5" s="143"/>
      <c r="J5" s="143" t="s">
        <v>145</v>
      </c>
      <c r="K5" s="143"/>
      <c r="L5" s="143"/>
      <c r="M5" s="143"/>
      <c r="N5" s="143"/>
      <c r="O5" s="143"/>
      <c r="P5" s="143"/>
      <c r="Q5" s="143"/>
      <c r="S5" s="143" t="s">
        <v>144</v>
      </c>
      <c r="T5" s="143"/>
      <c r="U5" s="143"/>
      <c r="V5" s="143"/>
      <c r="W5" s="143"/>
      <c r="X5" s="143"/>
      <c r="Y5" s="143"/>
      <c r="Z5" s="143"/>
      <c r="AA5" s="137"/>
    </row>
    <row r="6" spans="2:27" x14ac:dyDescent="0.3">
      <c r="B6" s="136"/>
      <c r="AA6" s="137"/>
    </row>
    <row r="7" spans="2:27" x14ac:dyDescent="0.3">
      <c r="B7" s="136"/>
      <c r="AA7" s="137"/>
    </row>
    <row r="8" spans="2:27" x14ac:dyDescent="0.3">
      <c r="B8" s="136"/>
      <c r="AA8" s="137"/>
    </row>
    <row r="9" spans="2:27" x14ac:dyDescent="0.3">
      <c r="B9" s="136"/>
      <c r="AA9" s="137"/>
    </row>
    <row r="10" spans="2:27" x14ac:dyDescent="0.3">
      <c r="B10" s="136"/>
      <c r="AA10" s="137"/>
    </row>
    <row r="11" spans="2:27" x14ac:dyDescent="0.3">
      <c r="B11" s="136"/>
      <c r="AA11" s="137"/>
    </row>
    <row r="12" spans="2:27" x14ac:dyDescent="0.3">
      <c r="B12" s="136"/>
      <c r="AA12" s="137"/>
    </row>
    <row r="13" spans="2:27" x14ac:dyDescent="0.3">
      <c r="B13" s="136"/>
      <c r="AA13" s="137"/>
    </row>
    <row r="14" spans="2:27" ht="10" customHeight="1" x14ac:dyDescent="0.3">
      <c r="B14" s="136"/>
      <c r="AA14" s="137"/>
    </row>
    <row r="15" spans="2:27" x14ac:dyDescent="0.3">
      <c r="B15" s="136"/>
      <c r="C15" s="143" t="s">
        <v>147</v>
      </c>
      <c r="D15" s="143"/>
      <c r="E15" s="143"/>
      <c r="F15" s="143"/>
      <c r="G15" s="143"/>
      <c r="H15" s="143"/>
      <c r="AA15" s="137"/>
    </row>
    <row r="16" spans="2:27" x14ac:dyDescent="0.3">
      <c r="B16" s="136"/>
      <c r="AA16" s="137"/>
    </row>
    <row r="17" spans="2:27" x14ac:dyDescent="0.3">
      <c r="B17" s="136"/>
      <c r="AA17" s="137"/>
    </row>
    <row r="18" spans="2:27" x14ac:dyDescent="0.3">
      <c r="B18" s="136"/>
      <c r="AA18" s="137"/>
    </row>
    <row r="19" spans="2:27" x14ac:dyDescent="0.3">
      <c r="B19" s="136"/>
      <c r="AA19" s="137"/>
    </row>
    <row r="20" spans="2:27" x14ac:dyDescent="0.3">
      <c r="B20" s="136"/>
      <c r="AA20" s="137"/>
    </row>
    <row r="21" spans="2:27" x14ac:dyDescent="0.3">
      <c r="B21" s="136"/>
      <c r="AA21" s="137"/>
    </row>
    <row r="22" spans="2:27" x14ac:dyDescent="0.3">
      <c r="B22" s="136"/>
      <c r="AA22" s="137"/>
    </row>
    <row r="23" spans="2:27" x14ac:dyDescent="0.3">
      <c r="B23" s="136"/>
      <c r="S23" s="149" t="s">
        <v>149</v>
      </c>
      <c r="T23" s="149"/>
      <c r="U23" s="149"/>
      <c r="W23" s="150" t="s">
        <v>150</v>
      </c>
      <c r="X23" s="150" t="s">
        <v>151</v>
      </c>
      <c r="Y23" s="150" t="s">
        <v>152</v>
      </c>
      <c r="Z23" s="150" t="s">
        <v>153</v>
      </c>
      <c r="AA23" s="137"/>
    </row>
    <row r="24" spans="2:27" x14ac:dyDescent="0.3">
      <c r="B24" s="136"/>
      <c r="S24" s="149" t="s">
        <v>154</v>
      </c>
      <c r="T24" s="149"/>
      <c r="U24" s="149"/>
      <c r="W24" s="151">
        <v>828632.78345470619</v>
      </c>
      <c r="X24" s="151">
        <f>W24</f>
        <v>828632.78345470619</v>
      </c>
      <c r="Y24" s="151">
        <v>1390109.0130836191</v>
      </c>
      <c r="Z24" s="151">
        <f>Y24</f>
        <v>1390109.0130836191</v>
      </c>
      <c r="AA24" s="137"/>
    </row>
    <row r="25" spans="2:27" x14ac:dyDescent="0.3">
      <c r="B25" s="136"/>
      <c r="S25" s="149" t="s">
        <v>155</v>
      </c>
      <c r="T25" s="149"/>
      <c r="U25" s="149"/>
      <c r="W25" s="151">
        <v>1034390.6999468254</v>
      </c>
      <c r="X25" s="151">
        <f t="shared" ref="X25:Z26" si="0">W25</f>
        <v>1034390.6999468254</v>
      </c>
      <c r="Y25" s="151">
        <v>1756323.5709134194</v>
      </c>
      <c r="Z25" s="151">
        <f t="shared" si="0"/>
        <v>1756323.5709134194</v>
      </c>
      <c r="AA25" s="137"/>
    </row>
    <row r="26" spans="2:27" x14ac:dyDescent="0.3">
      <c r="B26" s="136"/>
      <c r="S26" s="149" t="s">
        <v>156</v>
      </c>
      <c r="T26" s="149"/>
      <c r="U26" s="149"/>
      <c r="W26" s="151">
        <v>457619.06808639609</v>
      </c>
      <c r="X26" s="151">
        <f t="shared" si="0"/>
        <v>457619.06808639609</v>
      </c>
      <c r="Y26" s="151">
        <v>673007.15496576868</v>
      </c>
      <c r="Z26" s="151">
        <f t="shared" si="0"/>
        <v>673007.15496576868</v>
      </c>
      <c r="AA26" s="137"/>
    </row>
    <row r="27" spans="2:27" x14ac:dyDescent="0.3">
      <c r="B27" s="136"/>
      <c r="S27" s="149"/>
      <c r="T27" s="149"/>
      <c r="U27" s="149"/>
      <c r="W27" s="151"/>
      <c r="X27" s="151"/>
      <c r="Y27" s="151"/>
      <c r="Z27" s="151"/>
      <c r="AA27" s="137"/>
    </row>
    <row r="28" spans="2:27" x14ac:dyDescent="0.3">
      <c r="B28" s="136"/>
      <c r="S28" s="149"/>
      <c r="T28" s="149"/>
      <c r="U28" s="149"/>
      <c r="W28" s="151"/>
      <c r="X28" s="151"/>
      <c r="Y28" s="151"/>
      <c r="Z28" s="151"/>
      <c r="AA28" s="137"/>
    </row>
    <row r="29" spans="2:27" x14ac:dyDescent="0.3">
      <c r="B29" s="136"/>
      <c r="AA29" s="137"/>
    </row>
    <row r="30" spans="2:27" x14ac:dyDescent="0.3">
      <c r="B30" s="136"/>
      <c r="AA30" s="137"/>
    </row>
    <row r="31" spans="2:27" x14ac:dyDescent="0.3">
      <c r="B31" s="136"/>
      <c r="C31" s="22" t="s">
        <v>142</v>
      </c>
      <c r="D31" s="22">
        <v>2015</v>
      </c>
      <c r="E31" s="22">
        <v>2016</v>
      </c>
      <c r="F31" s="22">
        <v>2017</v>
      </c>
      <c r="G31" s="22">
        <v>2018</v>
      </c>
      <c r="H31" s="22">
        <v>2019</v>
      </c>
      <c r="I31" s="22">
        <v>2020</v>
      </c>
      <c r="J31" s="22">
        <v>2021</v>
      </c>
      <c r="K31" s="22">
        <v>2022</v>
      </c>
      <c r="L31" s="22">
        <v>2023</v>
      </c>
      <c r="M31" s="22">
        <v>2024</v>
      </c>
      <c r="N31" s="22">
        <v>2025</v>
      </c>
      <c r="O31" s="22">
        <v>2026</v>
      </c>
      <c r="P31" s="22">
        <v>2027</v>
      </c>
      <c r="Q31" s="22">
        <v>2028</v>
      </c>
      <c r="R31" s="22">
        <v>2029</v>
      </c>
      <c r="T31" s="143" t="s">
        <v>157</v>
      </c>
      <c r="U31" s="143"/>
      <c r="V31" s="143"/>
      <c r="W31" s="143"/>
      <c r="X31" s="143"/>
      <c r="Y31" s="143"/>
      <c r="Z31" s="143"/>
      <c r="AA31" s="143"/>
    </row>
    <row r="32" spans="2:27" x14ac:dyDescent="0.3">
      <c r="B32" s="136"/>
      <c r="C32" t="s">
        <v>10</v>
      </c>
      <c r="D32" s="58">
        <f>'Financial Model'!C39</f>
        <v>102007</v>
      </c>
      <c r="E32" s="58">
        <f>'Financial Model'!D39</f>
        <v>118086</v>
      </c>
      <c r="F32" s="58">
        <f>'Financial Model'!E39</f>
        <v>131345</v>
      </c>
      <c r="G32" s="58">
        <f>'Financial Model'!F39</f>
        <v>142341</v>
      </c>
      <c r="H32" s="58">
        <f>'Financial Model'!G39</f>
        <v>150772</v>
      </c>
      <c r="I32" s="58">
        <f>'Financial Model'!H39</f>
        <v>158310.6</v>
      </c>
      <c r="J32" s="58">
        <f>'Financial Model'!I39</f>
        <v>167809.236</v>
      </c>
      <c r="K32" s="58">
        <f>'Financial Model'!J39</f>
        <v>179555.88252000001</v>
      </c>
      <c r="L32" s="58">
        <f>'Financial Model'!K39</f>
        <v>193920.35312160003</v>
      </c>
      <c r="M32" s="58">
        <f>'Financial Model'!L39</f>
        <v>211373.18490254405</v>
      </c>
      <c r="N32" s="58">
        <f>'Financial Model'!M39</f>
        <v>232510.50339279848</v>
      </c>
      <c r="O32" s="58">
        <f>'Financial Model'!N39</f>
        <v>255761.55373207835</v>
      </c>
      <c r="P32" s="58">
        <f>'Financial Model'!O39</f>
        <v>281337.70910528622</v>
      </c>
      <c r="Q32" s="58">
        <f>'Financial Model'!P39</f>
        <v>309471.48001581489</v>
      </c>
      <c r="R32" s="58">
        <f>'Financial Model'!Q39</f>
        <v>340418.62801739638</v>
      </c>
      <c r="AA32" s="137"/>
    </row>
    <row r="33" spans="2:27" x14ac:dyDescent="0.3">
      <c r="B33" s="136"/>
      <c r="C33" t="s">
        <v>32</v>
      </c>
      <c r="D33" s="58">
        <f>'Financial Model'!C50</f>
        <v>21973.8292</v>
      </c>
      <c r="E33" s="58">
        <f>'Financial Model'!D50</f>
        <v>29940.783497877968</v>
      </c>
      <c r="F33" s="58">
        <f>'Financial Model'!E50</f>
        <v>38280.193885131324</v>
      </c>
      <c r="G33" s="58">
        <f>'Financial Model'!F50</f>
        <v>43256.979023595311</v>
      </c>
      <c r="H33" s="58">
        <f>'Financial Model'!G50</f>
        <v>44307.334758580284</v>
      </c>
      <c r="I33" s="58">
        <f>'Financial Model'!H50</f>
        <v>46582.142514430656</v>
      </c>
      <c r="J33" s="58">
        <f>'Financial Model'!I50</f>
        <v>52009.855931948303</v>
      </c>
      <c r="K33" s="58">
        <f>'Financial Model'!J50</f>
        <v>57156.827863042141</v>
      </c>
      <c r="L33" s="58">
        <f>'Financial Model'!K50</f>
        <v>66435.208994846544</v>
      </c>
      <c r="M33" s="58">
        <f>'Financial Model'!L50</f>
        <v>72521.371636641183</v>
      </c>
      <c r="N33" s="58">
        <f>'Financial Model'!M50</f>
        <v>79892.390836148028</v>
      </c>
      <c r="O33" s="58">
        <f>'Financial Model'!N50</f>
        <v>88000.511955605543</v>
      </c>
      <c r="P33" s="58">
        <f>'Financial Model'!O50</f>
        <v>96919.445187008823</v>
      </c>
      <c r="Q33" s="58">
        <f>'Financial Model'!P50</f>
        <v>106730.27174155244</v>
      </c>
      <c r="R33" s="58">
        <f>'Financial Model'!Q50</f>
        <v>117522.18095155041</v>
      </c>
      <c r="AA33" s="137"/>
    </row>
    <row r="34" spans="2:27" x14ac:dyDescent="0.3">
      <c r="B34" s="136"/>
      <c r="C34" t="s">
        <v>143</v>
      </c>
      <c r="D34" s="141">
        <f>'Financial Ratios'!C9</f>
        <v>0.21541491466271923</v>
      </c>
      <c r="E34" s="141">
        <f>'Financial Ratios'!D9</f>
        <v>0.25355066221125255</v>
      </c>
      <c r="F34" s="141">
        <f>'Financial Ratios'!E9</f>
        <v>0.29144766747977713</v>
      </c>
      <c r="G34" s="141">
        <f>'Financial Ratios'!F9</f>
        <v>0.3038968324207032</v>
      </c>
      <c r="H34" s="141">
        <f>'Financial Ratios'!G9</f>
        <v>0.29386978191295654</v>
      </c>
      <c r="I34" s="141">
        <f>'Financial Ratios'!H9</f>
        <v>0.29424525277796088</v>
      </c>
      <c r="J34" s="141">
        <f>'Financial Ratios'!I9</f>
        <v>0.30993440630376445</v>
      </c>
      <c r="K34" s="141">
        <f>'Financial Ratios'!J9</f>
        <v>0.31832333789830403</v>
      </c>
      <c r="L34" s="141">
        <f>'Financial Ratios'!K9</f>
        <v>0.34259018161537469</v>
      </c>
      <c r="M34" s="141">
        <f>'Financial Ratios'!L9</f>
        <v>0.34309636612646949</v>
      </c>
      <c r="N34" s="141">
        <f>'Financial Ratios'!M9</f>
        <v>0.34360766361242384</v>
      </c>
      <c r="O34" s="141">
        <f>'Financial Ratios'!N9</f>
        <v>0.34407247950874592</v>
      </c>
      <c r="P34" s="141">
        <f>'Financial Ratios'!O9</f>
        <v>0.34449503941449328</v>
      </c>
      <c r="Q34" s="141">
        <f>'Financial Ratios'!P9</f>
        <v>0.34487918478335455</v>
      </c>
      <c r="R34" s="141">
        <f>'Financial Ratios'!Q9</f>
        <v>0.34522840784595576</v>
      </c>
      <c r="AA34" s="137"/>
    </row>
    <row r="35" spans="2:27" x14ac:dyDescent="0.3">
      <c r="B35" s="136"/>
      <c r="AA35" s="137"/>
    </row>
    <row r="36" spans="2:27" x14ac:dyDescent="0.3">
      <c r="B36" s="136"/>
      <c r="C36" t="s">
        <v>13</v>
      </c>
      <c r="D36" s="58">
        <f>'Financial Model'!C43</f>
        <v>26427</v>
      </c>
      <c r="E36" s="58">
        <f>'Financial Model'!D43</f>
        <v>22658</v>
      </c>
      <c r="F36" s="58">
        <f>'Financial Model'!E43</f>
        <v>23872</v>
      </c>
      <c r="G36" s="58">
        <f>'Financial Model'!F43</f>
        <v>23002</v>
      </c>
      <c r="H36" s="58">
        <f>'Financial Model'!G43</f>
        <v>25245</v>
      </c>
      <c r="I36" s="58">
        <f>'Financial Model'!H43</f>
        <v>26507.25</v>
      </c>
      <c r="J36" s="58">
        <f>'Financial Model'!I43</f>
        <v>26849.477760000002</v>
      </c>
      <c r="K36" s="58">
        <f>'Financial Model'!J43</f>
        <v>28728.941203200004</v>
      </c>
      <c r="L36" s="58">
        <f>'Financial Model'!K43</f>
        <v>29088.052968240005</v>
      </c>
      <c r="M36" s="58">
        <f>'Financial Model'!L43</f>
        <v>31705.977735381606</v>
      </c>
      <c r="N36" s="58">
        <f>'Financial Model'!M43</f>
        <v>34876.57550891977</v>
      </c>
      <c r="O36" s="58">
        <f>'Financial Model'!N43</f>
        <v>38364.233059811748</v>
      </c>
      <c r="P36" s="58">
        <f>'Financial Model'!O43</f>
        <v>42200.656365792929</v>
      </c>
      <c r="Q36" s="58">
        <f>'Financial Model'!P43</f>
        <v>46420.722002372233</v>
      </c>
      <c r="R36" s="58">
        <f>'Financial Model'!Q43</f>
        <v>51062.794202609453</v>
      </c>
      <c r="AA36" s="137"/>
    </row>
    <row r="37" spans="2:27" x14ac:dyDescent="0.3">
      <c r="B37" s="136"/>
      <c r="C37" t="s">
        <v>14</v>
      </c>
      <c r="D37" s="58">
        <f>'Financial Model'!C44</f>
        <v>10963</v>
      </c>
      <c r="E37" s="58">
        <f>'Financial Model'!D44</f>
        <v>10125</v>
      </c>
      <c r="F37" s="58">
        <f>'Financial Model'!E44</f>
        <v>10087</v>
      </c>
      <c r="G37" s="58">
        <f>'Financial Model'!F44</f>
        <v>11020</v>
      </c>
      <c r="H37" s="58">
        <f>'Financial Model'!G44</f>
        <v>11412</v>
      </c>
      <c r="I37" s="58">
        <f>'Financial Model'!H44</f>
        <v>11982.600000000002</v>
      </c>
      <c r="J37" s="58">
        <f>'Financial Model'!I44</f>
        <v>11746.646520000002</v>
      </c>
      <c r="K37" s="58">
        <f>'Financial Model'!J44</f>
        <v>12568.911776400002</v>
      </c>
      <c r="L37" s="58">
        <f>'Financial Model'!K44</f>
        <v>11635.221187296002</v>
      </c>
      <c r="M37" s="58">
        <f>'Financial Model'!L44</f>
        <v>12682.391094152643</v>
      </c>
      <c r="N37" s="58">
        <f>'Financial Model'!M44</f>
        <v>13950.630203567907</v>
      </c>
      <c r="O37" s="58">
        <f>'Financial Model'!N44</f>
        <v>15345.6932239247</v>
      </c>
      <c r="P37" s="58">
        <f>'Financial Model'!O44</f>
        <v>16880.262546317172</v>
      </c>
      <c r="Q37" s="58">
        <f>'Financial Model'!P44</f>
        <v>18568.288800948892</v>
      </c>
      <c r="R37" s="58">
        <f>'Financial Model'!Q44</f>
        <v>20425.117681043783</v>
      </c>
      <c r="AA37" s="137"/>
    </row>
    <row r="38" spans="2:27" x14ac:dyDescent="0.3">
      <c r="B38" s="136"/>
      <c r="C38" t="s">
        <v>30</v>
      </c>
      <c r="D38" s="58">
        <f>'Financial Model'!C45</f>
        <v>2500</v>
      </c>
      <c r="E38" s="58">
        <f>'Financial Model'!D45</f>
        <v>2500</v>
      </c>
      <c r="F38" s="58">
        <f>'Financial Model'!E45</f>
        <v>1500</v>
      </c>
      <c r="G38" s="58">
        <f>'Financial Model'!F45</f>
        <v>1500</v>
      </c>
      <c r="H38" s="58">
        <f>'Financial Model'!G45</f>
        <v>1500</v>
      </c>
      <c r="I38" s="58">
        <f>'Financial Model'!H45</f>
        <v>1500.0000000000005</v>
      </c>
      <c r="J38" s="58">
        <f>'Financial Model'!I45</f>
        <v>1500.0000000000005</v>
      </c>
      <c r="K38" s="58">
        <f>'Financial Model'!J45</f>
        <v>1500.0000000000005</v>
      </c>
      <c r="L38" s="58">
        <f>'Financial Model'!K45</f>
        <v>1500.0000000000005</v>
      </c>
      <c r="M38" s="58">
        <f>'Financial Model'!L45</f>
        <v>1500.0000000000005</v>
      </c>
      <c r="N38" s="58">
        <f>'Financial Model'!M45</f>
        <v>1500.0000000000005</v>
      </c>
      <c r="O38" s="58">
        <f>'Financial Model'!N45</f>
        <v>1500.0000000000005</v>
      </c>
      <c r="P38" s="58">
        <f>'Financial Model'!O45</f>
        <v>1500.0000000000005</v>
      </c>
      <c r="Q38" s="58">
        <f>'Financial Model'!P45</f>
        <v>1500.0000000000005</v>
      </c>
      <c r="R38" s="58">
        <f>'Financial Model'!Q45</f>
        <v>1500.0000000000005</v>
      </c>
      <c r="AA38" s="137"/>
    </row>
    <row r="39" spans="2:27" x14ac:dyDescent="0.3">
      <c r="B39" s="136"/>
      <c r="C39" t="s">
        <v>15</v>
      </c>
      <c r="D39" s="58">
        <f>'Financial Model'!C46</f>
        <v>19500</v>
      </c>
      <c r="E39" s="58">
        <f>'Financial Model'!D46</f>
        <v>18150</v>
      </c>
      <c r="F39" s="58">
        <f>'Financial Model'!E46</f>
        <v>17205</v>
      </c>
      <c r="G39" s="58">
        <f>'Financial Model'!F46</f>
        <v>16543.5</v>
      </c>
      <c r="H39" s="58">
        <f>'Financial Model'!G46</f>
        <v>16080.449999999999</v>
      </c>
      <c r="I39" s="58">
        <f>'Financial Model'!H46</f>
        <v>15029.402627288579</v>
      </c>
      <c r="J39" s="58">
        <f>'Financial Model'!I46</f>
        <v>15318.044550866047</v>
      </c>
      <c r="K39" s="58">
        <f>'Financial Model'!J46</f>
        <v>15869.596755425171</v>
      </c>
      <c r="L39" s="58">
        <f>'Financial Model'!K46</f>
        <v>16668.333173328356</v>
      </c>
      <c r="M39" s="58">
        <f>'Financial Model'!L46</f>
        <v>17719.56433329478</v>
      </c>
      <c r="N39" s="58">
        <f>'Financial Model'!M46</f>
        <v>19045.224873561838</v>
      </c>
      <c r="O39" s="58">
        <f>'Financial Model'!N46</f>
        <v>20682.219403927233</v>
      </c>
      <c r="P39" s="58">
        <f>'Financial Model'!O46</f>
        <v>22590.074177863298</v>
      </c>
      <c r="Q39" s="58">
        <f>'Financial Model'!P46</f>
        <v>24752.950976754255</v>
      </c>
      <c r="R39" s="58">
        <f>'Financial Model'!Q46</f>
        <v>27170.621461527986</v>
      </c>
      <c r="AA39" s="137"/>
    </row>
    <row r="40" spans="2:27" x14ac:dyDescent="0.3">
      <c r="B40" s="136"/>
      <c r="AA40" s="137"/>
    </row>
    <row r="41" spans="2:27" x14ac:dyDescent="0.3">
      <c r="B41" s="136"/>
      <c r="C41" t="s">
        <v>104</v>
      </c>
      <c r="D41" s="58">
        <f>'Financial Model'!C120</f>
        <v>45094</v>
      </c>
      <c r="E41" s="58">
        <f>'Financial Model'!D120</f>
        <v>55449</v>
      </c>
      <c r="F41" s="58">
        <f>'Financial Model'!E120</f>
        <v>65468</v>
      </c>
      <c r="G41" s="58">
        <f>'Financial Model'!F120</f>
        <v>72208.5</v>
      </c>
      <c r="H41" s="58">
        <f>'Financial Model'!G120</f>
        <v>73485.45</v>
      </c>
      <c r="I41" s="58">
        <f>'Financial Model'!H120</f>
        <v>75304.652627288582</v>
      </c>
      <c r="J41" s="58">
        <f>'Financial Model'!I120</f>
        <v>82441.738950866042</v>
      </c>
      <c r="K41" s="58">
        <f>'Financial Model'!J120</f>
        <v>89487.508588625176</v>
      </c>
      <c r="L41" s="58">
        <f>'Financial Model'!K120</f>
        <v>101993.28854683238</v>
      </c>
      <c r="M41" s="58">
        <f>'Financial Model'!L120</f>
        <v>110723.76569041418</v>
      </c>
      <c r="N41" s="58">
        <f>'Financial Model'!M120</f>
        <v>121349.84636639318</v>
      </c>
      <c r="O41" s="58">
        <f>'Financial Model'!N120</f>
        <v>133217.30304604172</v>
      </c>
      <c r="P41" s="58">
        <f>'Financial Model'!O120</f>
        <v>146378.66618418926</v>
      </c>
      <c r="Q41" s="58">
        <f>'Financial Model'!P120</f>
        <v>160920.40218371281</v>
      </c>
      <c r="R41" s="58">
        <f>'Financial Model'!Q120</f>
        <v>176954.81778918242</v>
      </c>
      <c r="AA41" s="137"/>
    </row>
    <row r="42" spans="2:27" x14ac:dyDescent="0.3">
      <c r="B42" s="136"/>
      <c r="C42" t="s">
        <v>132</v>
      </c>
      <c r="D42" s="142">
        <f>'Financial Ratios'!C36</f>
        <v>1.1087949616356942</v>
      </c>
      <c r="E42" s="142">
        <f>'Financial Ratios'!D36</f>
        <v>0.90172951721401651</v>
      </c>
      <c r="F42" s="142">
        <f>'Financial Ratios'!E36</f>
        <v>0.45823913973238833</v>
      </c>
      <c r="G42" s="142">
        <f>'Financial Ratios'!F36</f>
        <v>0.41546355345977276</v>
      </c>
      <c r="H42" s="142">
        <f>'Financial Ratios'!G36</f>
        <v>0.40824408097113102</v>
      </c>
      <c r="I42" s="142">
        <f>'Financial Ratios'!H36</f>
        <v>0.39838175933805098</v>
      </c>
      <c r="J42" s="142">
        <f>'Financial Ratios'!I36</f>
        <v>0.363893343126587</v>
      </c>
      <c r="K42" s="142">
        <f>'Financial Ratios'!J36</f>
        <v>0.33524232010872329</v>
      </c>
      <c r="L42" s="142">
        <f>'Financial Ratios'!K36</f>
        <v>0.29413700085005956</v>
      </c>
      <c r="M42" s="142">
        <f>'Financial Ratios'!L36</f>
        <v>0.27094454214897817</v>
      </c>
      <c r="N42" s="142">
        <f>'Financial Ratios'!M36</f>
        <v>0.2472191016164999</v>
      </c>
      <c r="O42" s="142">
        <f>'Financial Ratios'!N36</f>
        <v>0.22519597164965574</v>
      </c>
      <c r="P42" s="142">
        <f>'Financial Ratios'!O36</f>
        <v>0.20494789836553645</v>
      </c>
      <c r="Q42" s="142">
        <f>'Financial Ratios'!P36</f>
        <v>0.18642757284281999</v>
      </c>
      <c r="R42" s="142">
        <f>'Financial Ratios'!Q36</f>
        <v>0.16953480201788529</v>
      </c>
      <c r="AA42" s="137"/>
    </row>
    <row r="43" spans="2:27" x14ac:dyDescent="0.3">
      <c r="B43" s="136"/>
      <c r="AA43" s="137"/>
    </row>
    <row r="44" spans="2:27" x14ac:dyDescent="0.3">
      <c r="B44" s="136"/>
      <c r="C44" t="s">
        <v>55</v>
      </c>
      <c r="D44" s="58">
        <f>'Financial Model'!C79</f>
        <v>12971.179199999999</v>
      </c>
      <c r="E44" s="58">
        <f>'Financial Model'!D79</f>
        <v>28238.733497877969</v>
      </c>
      <c r="F44" s="58">
        <f>'Financial Model'!E79</f>
        <v>37505.343885131326</v>
      </c>
      <c r="G44" s="58">
        <f>'Financial Model'!F79</f>
        <v>42354.07902359531</v>
      </c>
      <c r="H44" s="58">
        <f>'Financial Model'!G79</f>
        <v>43480.18475858029</v>
      </c>
      <c r="I44" s="58">
        <f>'Financial Model'!H79</f>
        <v>60988.961535161856</v>
      </c>
      <c r="J44" s="58">
        <f>'Financial Model'!I79</f>
        <v>66560.680557371728</v>
      </c>
      <c r="K44" s="58">
        <f>'Financial Model'!J79</f>
        <v>72184.022253747316</v>
      </c>
      <c r="L44" s="58">
        <f>'Financial Model'!K79</f>
        <v>82062.118049558892</v>
      </c>
      <c r="M44" s="58">
        <f>'Financial Model'!L79</f>
        <v>88806.53466942106</v>
      </c>
      <c r="N44" s="58">
        <f>'Financial Model'!M79</f>
        <v>97091.854237172898</v>
      </c>
      <c r="O44" s="58">
        <f>'Financial Model'!N79</f>
        <v>106706.39208069399</v>
      </c>
      <c r="P44" s="58">
        <f>'Financial Model'!O79</f>
        <v>117335.54615814945</v>
      </c>
      <c r="Q44" s="58">
        <f>'Financial Model'!P79</f>
        <v>129163.72398271871</v>
      </c>
      <c r="R44" s="58">
        <f>'Financial Model'!Q79</f>
        <v>141990.42304113702</v>
      </c>
      <c r="AA44" s="137"/>
    </row>
    <row r="45" spans="2:27" x14ac:dyDescent="0.3">
      <c r="B45" s="136"/>
      <c r="C45" t="s">
        <v>58</v>
      </c>
      <c r="D45" s="58">
        <f>'Financial Model'!C83</f>
        <v>-15000</v>
      </c>
      <c r="E45" s="58">
        <f>'Financial Model'!D83</f>
        <v>-15000</v>
      </c>
      <c r="F45" s="58">
        <f>'Financial Model'!E83</f>
        <v>-15000</v>
      </c>
      <c r="G45" s="58">
        <f>'Financial Model'!F83</f>
        <v>-15000</v>
      </c>
      <c r="H45" s="58">
        <f>'Financial Model'!G83</f>
        <v>-15000</v>
      </c>
      <c r="I45" s="58">
        <f>'Financial Model'!H83</f>
        <v>-15750</v>
      </c>
      <c r="J45" s="58">
        <f>'Financial Model'!I83</f>
        <v>-16695</v>
      </c>
      <c r="K45" s="58">
        <f>'Financial Model'!J83</f>
        <v>-17863.650000000001</v>
      </c>
      <c r="L45" s="58">
        <f>'Financial Model'!K83</f>
        <v>-19292.742000000002</v>
      </c>
      <c r="M45" s="58">
        <f>'Financial Model'!L83</f>
        <v>-21029.088780000002</v>
      </c>
      <c r="N45" s="58">
        <f>'Financial Model'!M83</f>
        <v>-23131.997658000008</v>
      </c>
      <c r="O45" s="58">
        <f>'Financial Model'!N83</f>
        <v>-25445.197423800011</v>
      </c>
      <c r="P45" s="58">
        <f>'Financial Model'!O83</f>
        <v>-27989.717166180013</v>
      </c>
      <c r="Q45" s="58">
        <f>'Financial Model'!P83</f>
        <v>-30788.688882798018</v>
      </c>
      <c r="R45" s="58">
        <f>'Financial Model'!Q83</f>
        <v>-33867.557771077823</v>
      </c>
      <c r="AA45" s="137"/>
    </row>
    <row r="46" spans="2:27" x14ac:dyDescent="0.3">
      <c r="B46" s="136"/>
      <c r="C46" t="s">
        <v>62</v>
      </c>
      <c r="D46" s="58">
        <f>'Financial Model'!C88</f>
        <v>70000</v>
      </c>
      <c r="E46" s="58">
        <f>'Financial Model'!D88</f>
        <v>0</v>
      </c>
      <c r="F46" s="58">
        <f>'Financial Model'!E88</f>
        <v>-20000</v>
      </c>
      <c r="G46" s="58">
        <f>'Financial Model'!F88</f>
        <v>0</v>
      </c>
      <c r="H46" s="58">
        <f>'Financial Model'!G88</f>
        <v>0</v>
      </c>
      <c r="I46" s="58">
        <f>'Financial Model'!H88</f>
        <v>0</v>
      </c>
      <c r="J46" s="58">
        <f>'Financial Model'!I88</f>
        <v>0</v>
      </c>
      <c r="K46" s="58">
        <f>'Financial Model'!J88</f>
        <v>0</v>
      </c>
      <c r="L46" s="58">
        <f>'Financial Model'!K88</f>
        <v>0</v>
      </c>
      <c r="M46" s="58">
        <f>'Financial Model'!L88</f>
        <v>0</v>
      </c>
      <c r="N46" s="58">
        <f>'Financial Model'!M88</f>
        <v>0</v>
      </c>
      <c r="O46" s="58">
        <f>'Financial Model'!N88</f>
        <v>0</v>
      </c>
      <c r="P46" s="58">
        <f>'Financial Model'!O88</f>
        <v>0</v>
      </c>
      <c r="Q46" s="58">
        <f>'Financial Model'!P88</f>
        <v>0</v>
      </c>
      <c r="R46" s="58">
        <f>'Financial Model'!Q88</f>
        <v>0</v>
      </c>
      <c r="AA46" s="137"/>
    </row>
    <row r="47" spans="2:27" x14ac:dyDescent="0.3">
      <c r="B47" s="136"/>
      <c r="C47" t="s">
        <v>65</v>
      </c>
      <c r="D47" s="58">
        <f>'Financial Model'!C92</f>
        <v>67971.179199999999</v>
      </c>
      <c r="E47" s="58">
        <f>'Financial Model'!D92</f>
        <v>81209.912697877968</v>
      </c>
      <c r="F47" s="58">
        <f>'Financial Model'!E92</f>
        <v>83715.256583009294</v>
      </c>
      <c r="G47" s="58">
        <f>'Financial Model'!F92</f>
        <v>111069.33560660461</v>
      </c>
      <c r="H47" s="58">
        <f>'Financial Model'!G92</f>
        <v>139549.5203651849</v>
      </c>
      <c r="I47" s="58">
        <f>'Financial Model'!H92</f>
        <v>184788.48190034676</v>
      </c>
      <c r="J47" s="58">
        <f>'Financial Model'!I92</f>
        <v>234654.16245771848</v>
      </c>
      <c r="K47" s="58">
        <f>'Financial Model'!J92</f>
        <v>288974.53471146582</v>
      </c>
      <c r="L47" s="58">
        <f>'Financial Model'!K92</f>
        <v>351743.91076102469</v>
      </c>
      <c r="M47" s="58">
        <f>'Financial Model'!L92</f>
        <v>419521.35665044573</v>
      </c>
      <c r="N47" s="58">
        <f>'Financial Model'!M92</f>
        <v>493481.21322961862</v>
      </c>
      <c r="O47" s="58">
        <f>'Financial Model'!N92</f>
        <v>574742.40788651258</v>
      </c>
      <c r="P47" s="58">
        <f>'Financial Model'!O92</f>
        <v>664088.23687848204</v>
      </c>
      <c r="Q47" s="58">
        <f>'Financial Model'!P92</f>
        <v>762463.27197840274</v>
      </c>
      <c r="R47" s="58">
        <f>'Financial Model'!Q92</f>
        <v>870586.13724846195</v>
      </c>
      <c r="AA47" s="137"/>
    </row>
    <row r="48" spans="2:27" ht="14.5" thickBot="1" x14ac:dyDescent="0.35">
      <c r="B48" s="138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40"/>
    </row>
  </sheetData>
  <sheetProtection algorithmName="SHA-512" hashValue="7ZlTr7YC+WbgDHbE4mBTv9QhdUc2dovzU2ejqaO6nhdoenEbgBOOYktkZhO00NHN02lxx/eImAMlMjqz6Hfxeg==" saltValue="XtyZ6FagSXJLG4muqVUT5g==" spinCount="100000" sheet="1" objects="1" scenarios="1" selectLockedCells="1" selectUnlockedCells="1"/>
  <pageMargins left="0.7" right="0.7" top="0.75" bottom="0.75" header="0.3" footer="0.3"/>
  <pageSetup scale="5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20</xdr:col>
                    <xdr:colOff>285750</xdr:colOff>
                    <xdr:row>1</xdr:row>
                    <xdr:rowOff>69850</xdr:rowOff>
                  </from>
                  <to>
                    <xdr:col>22</xdr:col>
                    <xdr:colOff>247650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9A2F-D365-4A4D-87F0-E66D566E1088}">
  <dimension ref="A1:R152"/>
  <sheetViews>
    <sheetView showGridLines="0" zoomScale="75" zoomScaleNormal="75" workbookViewId="0">
      <pane ySplit="5" topLeftCell="A6" activePane="bottomLeft" state="frozen"/>
      <selection activeCell="D17" sqref="D17"/>
      <selection pane="bottomLeft"/>
    </sheetView>
  </sheetViews>
  <sheetFormatPr defaultRowHeight="14" outlineLevelRow="1" x14ac:dyDescent="0.3"/>
  <cols>
    <col min="1" max="1" width="45.59765625" bestFit="1" customWidth="1"/>
    <col min="2" max="2" width="10.8984375" bestFit="1" customWidth="1"/>
    <col min="3" max="17" width="11.69921875" customWidth="1"/>
    <col min="18" max="18" width="10.09765625" bestFit="1" customWidth="1"/>
  </cols>
  <sheetData>
    <row r="1" spans="1:1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3">
      <c r="A2" s="22" t="s">
        <v>4</v>
      </c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20" x14ac:dyDescent="0.4">
      <c r="A3" s="23" t="s">
        <v>3</v>
      </c>
      <c r="B3" s="23"/>
      <c r="C3" s="24" t="s">
        <v>88</v>
      </c>
      <c r="D3" s="21"/>
      <c r="E3" s="21"/>
      <c r="F3" s="21"/>
      <c r="G3" s="21"/>
      <c r="H3" s="22" t="s">
        <v>89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3">
      <c r="A4" s="21"/>
      <c r="B4" s="21"/>
      <c r="C4" s="72">
        <v>2015</v>
      </c>
      <c r="D4" s="72">
        <f t="shared" ref="D4:I4" si="0">C4+1</f>
        <v>2016</v>
      </c>
      <c r="E4" s="72">
        <f t="shared" si="0"/>
        <v>2017</v>
      </c>
      <c r="F4" s="72">
        <f t="shared" si="0"/>
        <v>2018</v>
      </c>
      <c r="G4" s="72">
        <f t="shared" si="0"/>
        <v>2019</v>
      </c>
      <c r="H4" s="72">
        <f t="shared" si="0"/>
        <v>2020</v>
      </c>
      <c r="I4" s="72">
        <f t="shared" si="0"/>
        <v>2021</v>
      </c>
      <c r="J4" s="72">
        <f t="shared" ref="J4:Q4" si="1">I4+1</f>
        <v>2022</v>
      </c>
      <c r="K4" s="72">
        <f t="shared" si="1"/>
        <v>2023</v>
      </c>
      <c r="L4" s="72">
        <f t="shared" si="1"/>
        <v>2024</v>
      </c>
      <c r="M4" s="72">
        <f t="shared" si="1"/>
        <v>2025</v>
      </c>
      <c r="N4" s="72">
        <f t="shared" si="1"/>
        <v>2026</v>
      </c>
      <c r="O4" s="72">
        <f t="shared" si="1"/>
        <v>2027</v>
      </c>
      <c r="P4" s="72">
        <f t="shared" si="1"/>
        <v>2028</v>
      </c>
      <c r="Q4" s="72">
        <f t="shared" si="1"/>
        <v>2029</v>
      </c>
    </row>
    <row r="5" spans="1:17" ht="15.5" x14ac:dyDescent="0.35">
      <c r="A5" s="41" t="s">
        <v>48</v>
      </c>
      <c r="B5" s="41"/>
      <c r="C5" s="75" t="str">
        <f>IFERROR(IF(ABS(C71)&gt;0.1,"ERROR","OK"),"OK")</f>
        <v>OK</v>
      </c>
      <c r="D5" s="75" t="str">
        <f t="shared" ref="D5:Q5" si="2">IFERROR(IF(ABS(D71)&gt;0.1,"ERROR","OK"),"OK")</f>
        <v>OK</v>
      </c>
      <c r="E5" s="75" t="str">
        <f t="shared" si="2"/>
        <v>OK</v>
      </c>
      <c r="F5" s="75" t="str">
        <f t="shared" si="2"/>
        <v>OK</v>
      </c>
      <c r="G5" s="75" t="str">
        <f t="shared" si="2"/>
        <v>OK</v>
      </c>
      <c r="H5" s="75" t="str">
        <f t="shared" si="2"/>
        <v>OK</v>
      </c>
      <c r="I5" s="75" t="str">
        <f t="shared" si="2"/>
        <v>OK</v>
      </c>
      <c r="J5" s="75" t="str">
        <f t="shared" si="2"/>
        <v>OK</v>
      </c>
      <c r="K5" s="75" t="str">
        <f t="shared" si="2"/>
        <v>OK</v>
      </c>
      <c r="L5" s="75" t="str">
        <f t="shared" si="2"/>
        <v>OK</v>
      </c>
      <c r="M5" s="75" t="str">
        <f t="shared" si="2"/>
        <v>OK</v>
      </c>
      <c r="N5" s="75" t="str">
        <f t="shared" si="2"/>
        <v>OK</v>
      </c>
      <c r="O5" s="75" t="str">
        <f t="shared" si="2"/>
        <v>OK</v>
      </c>
      <c r="P5" s="75" t="str">
        <f t="shared" si="2"/>
        <v>OK</v>
      </c>
      <c r="Q5" s="75" t="str">
        <f t="shared" si="2"/>
        <v>OK</v>
      </c>
    </row>
    <row r="7" spans="1:17" x14ac:dyDescent="0.3">
      <c r="A7" s="34" t="s">
        <v>5</v>
      </c>
      <c r="B7" s="34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spans="1:17" outlineLevel="1" x14ac:dyDescent="0.3"/>
    <row r="9" spans="1:17" outlineLevel="1" x14ac:dyDescent="0.3">
      <c r="A9" s="25" t="s">
        <v>6</v>
      </c>
      <c r="B9" s="25"/>
      <c r="C9" s="26"/>
    </row>
    <row r="10" spans="1:17" outlineLevel="1" x14ac:dyDescent="0.3">
      <c r="A10" t="s">
        <v>7</v>
      </c>
      <c r="C10" s="84">
        <v>42005</v>
      </c>
      <c r="D10" s="28">
        <f>DATE(YEAR(C10)+1,MONTH(C10),DAY(C10))</f>
        <v>42370</v>
      </c>
      <c r="E10" s="28">
        <f t="shared" ref="E10:Q10" si="3">DATE(YEAR(D10)+1,MONTH(D10),DAY(D10))</f>
        <v>42736</v>
      </c>
      <c r="F10" s="28">
        <f t="shared" si="3"/>
        <v>43101</v>
      </c>
      <c r="G10" s="28">
        <f t="shared" si="3"/>
        <v>43466</v>
      </c>
      <c r="H10" s="28">
        <f t="shared" si="3"/>
        <v>43831</v>
      </c>
      <c r="I10" s="28">
        <f t="shared" si="3"/>
        <v>44197</v>
      </c>
      <c r="J10" s="28">
        <f t="shared" si="3"/>
        <v>44562</v>
      </c>
      <c r="K10" s="28">
        <f t="shared" si="3"/>
        <v>44927</v>
      </c>
      <c r="L10" s="28">
        <f t="shared" si="3"/>
        <v>45292</v>
      </c>
      <c r="M10" s="28">
        <f t="shared" si="3"/>
        <v>45658</v>
      </c>
      <c r="N10" s="28">
        <f t="shared" si="3"/>
        <v>46023</v>
      </c>
      <c r="O10" s="28">
        <f t="shared" si="3"/>
        <v>46388</v>
      </c>
      <c r="P10" s="28">
        <f t="shared" si="3"/>
        <v>46753</v>
      </c>
      <c r="Q10" s="28">
        <f t="shared" si="3"/>
        <v>47119</v>
      </c>
    </row>
    <row r="11" spans="1:17" outlineLevel="1" x14ac:dyDescent="0.3">
      <c r="A11" t="s">
        <v>8</v>
      </c>
      <c r="C11" s="84">
        <v>42369</v>
      </c>
      <c r="D11" s="28">
        <f>DATE(YEAR(C11)+1,MONTH(C11),DAY(C11))</f>
        <v>42735</v>
      </c>
      <c r="E11" s="28">
        <f t="shared" ref="E11:Q11" si="4">DATE(YEAR(D11)+1,MONTH(D11),DAY(D11))</f>
        <v>43100</v>
      </c>
      <c r="F11" s="28">
        <f t="shared" si="4"/>
        <v>43465</v>
      </c>
      <c r="G11" s="28">
        <f t="shared" si="4"/>
        <v>43830</v>
      </c>
      <c r="H11" s="28">
        <f t="shared" si="4"/>
        <v>44196</v>
      </c>
      <c r="I11" s="28">
        <f t="shared" si="4"/>
        <v>44561</v>
      </c>
      <c r="J11" s="28">
        <f t="shared" si="4"/>
        <v>44926</v>
      </c>
      <c r="K11" s="28">
        <f t="shared" si="4"/>
        <v>45291</v>
      </c>
      <c r="L11" s="28">
        <f t="shared" si="4"/>
        <v>45657</v>
      </c>
      <c r="M11" s="28">
        <f t="shared" si="4"/>
        <v>46022</v>
      </c>
      <c r="N11" s="28">
        <f t="shared" si="4"/>
        <v>46387</v>
      </c>
      <c r="O11" s="28">
        <f t="shared" si="4"/>
        <v>46752</v>
      </c>
      <c r="P11" s="28">
        <f t="shared" si="4"/>
        <v>47118</v>
      </c>
      <c r="Q11" s="28">
        <f t="shared" si="4"/>
        <v>47483</v>
      </c>
    </row>
    <row r="12" spans="1:17" outlineLevel="1" x14ac:dyDescent="0.3">
      <c r="A12" t="s">
        <v>9</v>
      </c>
      <c r="C12">
        <f>C11-C10+1</f>
        <v>365</v>
      </c>
      <c r="D12">
        <f t="shared" ref="D12:Q12" si="5">D11-D10+1</f>
        <v>366</v>
      </c>
      <c r="E12">
        <f t="shared" si="5"/>
        <v>365</v>
      </c>
      <c r="F12">
        <f t="shared" si="5"/>
        <v>365</v>
      </c>
      <c r="G12">
        <f t="shared" si="5"/>
        <v>365</v>
      </c>
      <c r="H12">
        <f t="shared" si="5"/>
        <v>366</v>
      </c>
      <c r="I12">
        <f t="shared" si="5"/>
        <v>365</v>
      </c>
      <c r="J12">
        <f t="shared" si="5"/>
        <v>365</v>
      </c>
      <c r="K12">
        <f t="shared" si="5"/>
        <v>365</v>
      </c>
      <c r="L12">
        <f t="shared" si="5"/>
        <v>366</v>
      </c>
      <c r="M12">
        <f t="shared" si="5"/>
        <v>365</v>
      </c>
      <c r="N12">
        <f t="shared" si="5"/>
        <v>365</v>
      </c>
      <c r="O12">
        <f t="shared" si="5"/>
        <v>365</v>
      </c>
      <c r="P12">
        <f t="shared" si="5"/>
        <v>366</v>
      </c>
      <c r="Q12">
        <f t="shared" si="5"/>
        <v>365</v>
      </c>
    </row>
    <row r="13" spans="1:17" outlineLevel="1" x14ac:dyDescent="0.3"/>
    <row r="14" spans="1:17" outlineLevel="1" x14ac:dyDescent="0.3">
      <c r="A14" s="25" t="s">
        <v>10</v>
      </c>
      <c r="B14" s="25"/>
      <c r="D14" s="56">
        <f>D39/C39-1</f>
        <v>0.15762643740135474</v>
      </c>
      <c r="E14" s="56">
        <f>E39/D39-1</f>
        <v>0.1122825737174602</v>
      </c>
      <c r="F14" s="56">
        <f>F39/E39-1</f>
        <v>8.3718451406600947E-2</v>
      </c>
      <c r="G14" s="56">
        <f>G39/F39-1</f>
        <v>5.9231001608812672E-2</v>
      </c>
      <c r="H14" s="89">
        <f>'Scenario Analysis'!H23</f>
        <v>0.05</v>
      </c>
      <c r="I14" s="90">
        <f>'Scenario Analysis'!I23</f>
        <v>0.06</v>
      </c>
      <c r="J14" s="90">
        <f>'Scenario Analysis'!J23</f>
        <v>7.0000000000000007E-2</v>
      </c>
      <c r="K14" s="90">
        <f>'Scenario Analysis'!K23</f>
        <v>0.08</v>
      </c>
      <c r="L14" s="90">
        <f>'Scenario Analysis'!L23</f>
        <v>0.09</v>
      </c>
      <c r="M14" s="90">
        <f>'Scenario Analysis'!M23</f>
        <v>0.1</v>
      </c>
      <c r="N14" s="90">
        <f>'Scenario Analysis'!N23</f>
        <v>0.1</v>
      </c>
      <c r="O14" s="90">
        <f>'Scenario Analysis'!O23</f>
        <v>0.1</v>
      </c>
      <c r="P14" s="90">
        <f>'Scenario Analysis'!P23</f>
        <v>0.1</v>
      </c>
      <c r="Q14" s="90">
        <f>'Scenario Analysis'!Q23</f>
        <v>0.1</v>
      </c>
    </row>
    <row r="15" spans="1:17" outlineLevel="1" x14ac:dyDescent="0.3"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1:17" outlineLevel="1" x14ac:dyDescent="0.3">
      <c r="A16" s="31" t="s">
        <v>11</v>
      </c>
      <c r="B16" s="31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1:17" outlineLevel="1" x14ac:dyDescent="0.3">
      <c r="A17" t="s">
        <v>12</v>
      </c>
      <c r="C17" s="55">
        <f>C40/C39</f>
        <v>0.38255217779172018</v>
      </c>
      <c r="D17" s="55">
        <f>D40/D39</f>
        <v>0.40651728401334619</v>
      </c>
      <c r="E17" s="55">
        <f>E40/E39</f>
        <v>0.37399977159389397</v>
      </c>
      <c r="F17" s="55">
        <f>F40/F39</f>
        <v>0.369914501092447</v>
      </c>
      <c r="G17" s="55">
        <f>G40/G39</f>
        <v>0.37613084657628737</v>
      </c>
      <c r="H17" s="76">
        <f>'Scenario Analysis'!H26</f>
        <v>0.37613084657628737</v>
      </c>
      <c r="I17" s="77">
        <f>'Scenario Analysis'!I26</f>
        <v>0.37</v>
      </c>
      <c r="J17" s="77">
        <f>'Scenario Analysis'!J26</f>
        <v>0.36</v>
      </c>
      <c r="K17" s="77">
        <f>'Scenario Analysis'!K26</f>
        <v>0.35</v>
      </c>
      <c r="L17" s="77">
        <f>'Scenario Analysis'!L26</f>
        <v>0.35</v>
      </c>
      <c r="M17" s="77">
        <f>'Scenario Analysis'!M26</f>
        <v>0.35</v>
      </c>
      <c r="N17" s="77">
        <f>'Scenario Analysis'!N26</f>
        <v>0.35</v>
      </c>
      <c r="O17" s="77">
        <f>'Scenario Analysis'!O26</f>
        <v>0.35</v>
      </c>
      <c r="P17" s="77">
        <f>'Scenario Analysis'!P26</f>
        <v>0.35</v>
      </c>
      <c r="Q17" s="77">
        <f>'Scenario Analysis'!Q26</f>
        <v>0.35</v>
      </c>
    </row>
    <row r="18" spans="1:17" outlineLevel="1" x14ac:dyDescent="0.3">
      <c r="A18" t="s">
        <v>13</v>
      </c>
      <c r="C18" s="55">
        <f t="shared" ref="C18:G19" si="6">C43/C$39</f>
        <v>0.25907045594910155</v>
      </c>
      <c r="D18" s="55">
        <f t="shared" si="6"/>
        <v>0.19187710651559034</v>
      </c>
      <c r="E18" s="55">
        <f t="shared" si="6"/>
        <v>0.18175035212608018</v>
      </c>
      <c r="F18" s="55">
        <f t="shared" si="6"/>
        <v>0.16159785304304453</v>
      </c>
      <c r="G18" s="55">
        <f t="shared" si="6"/>
        <v>0.16743825113416283</v>
      </c>
      <c r="H18" s="76">
        <f>'Scenario Analysis'!H27</f>
        <v>0.16743825113416283</v>
      </c>
      <c r="I18" s="77">
        <f>'Scenario Analysis'!I27</f>
        <v>0.16</v>
      </c>
      <c r="J18" s="77">
        <f>'Scenario Analysis'!J27</f>
        <v>0.16</v>
      </c>
      <c r="K18" s="77">
        <f>'Scenario Analysis'!K27</f>
        <v>0.15</v>
      </c>
      <c r="L18" s="77">
        <f>'Scenario Analysis'!L27</f>
        <v>0.15</v>
      </c>
      <c r="M18" s="77">
        <f>'Scenario Analysis'!M27</f>
        <v>0.15</v>
      </c>
      <c r="N18" s="77">
        <f>'Scenario Analysis'!N27</f>
        <v>0.15</v>
      </c>
      <c r="O18" s="77">
        <f>'Scenario Analysis'!O27</f>
        <v>0.15</v>
      </c>
      <c r="P18" s="77">
        <f>'Scenario Analysis'!P27</f>
        <v>0.15</v>
      </c>
      <c r="Q18" s="77">
        <f>'Scenario Analysis'!Q27</f>
        <v>0.15</v>
      </c>
    </row>
    <row r="19" spans="1:17" outlineLevel="1" x14ac:dyDescent="0.3">
      <c r="A19" t="s">
        <v>14</v>
      </c>
      <c r="C19" s="55">
        <f t="shared" si="6"/>
        <v>0.10747301655768722</v>
      </c>
      <c r="D19" s="55">
        <f t="shared" si="6"/>
        <v>8.5742594380366854E-2</v>
      </c>
      <c r="E19" s="55">
        <f t="shared" si="6"/>
        <v>7.679774639308691E-2</v>
      </c>
      <c r="F19" s="55">
        <f t="shared" si="6"/>
        <v>7.7419717439107499E-2</v>
      </c>
      <c r="G19" s="55">
        <f t="shared" si="6"/>
        <v>7.5690446502003031E-2</v>
      </c>
      <c r="H19" s="76">
        <f>'Scenario Analysis'!H28</f>
        <v>7.5690446502003031E-2</v>
      </c>
      <c r="I19" s="77">
        <f>'Scenario Analysis'!I28</f>
        <v>7.0000000000000007E-2</v>
      </c>
      <c r="J19" s="77">
        <f>'Scenario Analysis'!J28</f>
        <v>7.0000000000000007E-2</v>
      </c>
      <c r="K19" s="77">
        <f>'Scenario Analysis'!K28</f>
        <v>0.06</v>
      </c>
      <c r="L19" s="77">
        <f>'Scenario Analysis'!L28</f>
        <v>0.06</v>
      </c>
      <c r="M19" s="77">
        <f>'Scenario Analysis'!M28</f>
        <v>0.06</v>
      </c>
      <c r="N19" s="77">
        <f>'Scenario Analysis'!N28</f>
        <v>0.06</v>
      </c>
      <c r="O19" s="77">
        <f>'Scenario Analysis'!O28</f>
        <v>0.06</v>
      </c>
      <c r="P19" s="77">
        <f>'Scenario Analysis'!P28</f>
        <v>0.06</v>
      </c>
      <c r="Q19" s="77">
        <f>'Scenario Analysis'!Q28</f>
        <v>0.06</v>
      </c>
    </row>
    <row r="20" spans="1:17" outlineLevel="1" x14ac:dyDescent="0.3">
      <c r="A20" s="33" t="s">
        <v>17</v>
      </c>
      <c r="B20" s="33"/>
      <c r="C20" s="57">
        <f>SUM(C17:C19)</f>
        <v>0.749095650298509</v>
      </c>
      <c r="D20" s="57">
        <f>SUM(D17:D19)</f>
        <v>0.6841369849093033</v>
      </c>
      <c r="E20" s="57">
        <f>SUM(E17:E19)</f>
        <v>0.63254787011306102</v>
      </c>
      <c r="F20" s="57">
        <f>SUM(F17:F19)</f>
        <v>0.60893207157459905</v>
      </c>
      <c r="G20" s="57">
        <f>SUM(G17:G19)</f>
        <v>0.61925954421245322</v>
      </c>
      <c r="H20" s="79">
        <f>'Scenario Analysis'!H29</f>
        <v>0.61925954421245322</v>
      </c>
      <c r="I20" s="79">
        <f>'Scenario Analysis'!I29</f>
        <v>0.60000000000000009</v>
      </c>
      <c r="J20" s="79">
        <f>'Scenario Analysis'!J29</f>
        <v>0.59000000000000008</v>
      </c>
      <c r="K20" s="79">
        <f>'Scenario Analysis'!K29</f>
        <v>0.56000000000000005</v>
      </c>
      <c r="L20" s="79">
        <f>'Scenario Analysis'!L29</f>
        <v>0.56000000000000005</v>
      </c>
      <c r="M20" s="79">
        <f>'Scenario Analysis'!M29</f>
        <v>0.56000000000000005</v>
      </c>
      <c r="N20" s="79">
        <f>'Scenario Analysis'!N29</f>
        <v>0.56000000000000005</v>
      </c>
      <c r="O20" s="79">
        <f>'Scenario Analysis'!O29</f>
        <v>0.56000000000000005</v>
      </c>
      <c r="P20" s="79">
        <f>'Scenario Analysis'!P29</f>
        <v>0.56000000000000005</v>
      </c>
      <c r="Q20" s="79">
        <f>'Scenario Analysis'!Q29</f>
        <v>0.56000000000000005</v>
      </c>
    </row>
    <row r="21" spans="1:17" outlineLevel="1" x14ac:dyDescent="0.3">
      <c r="C21" s="55"/>
      <c r="D21" s="55"/>
      <c r="E21" s="55"/>
      <c r="F21" s="55"/>
      <c r="G21" s="55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17" outlineLevel="1" x14ac:dyDescent="0.3">
      <c r="A22" s="32" t="s">
        <v>16</v>
      </c>
      <c r="B22" s="32"/>
      <c r="C22" s="55">
        <f>IF(C48&gt;0,C49/C48,0)</f>
        <v>4.8504841084264318E-2</v>
      </c>
      <c r="D22" s="55">
        <f>IF(D48&gt;0,D49/D48,0)</f>
        <v>0.13960793419701803</v>
      </c>
      <c r="E22" s="55">
        <f>IF(E48&gt;0,E49/E48,0)</f>
        <v>0.18139995541065965</v>
      </c>
      <c r="F22" s="55">
        <f>IF(F48&gt;0,F49/F48,0)</f>
        <v>0.20138504525809453</v>
      </c>
      <c r="G22" s="55">
        <f>IF(G48&gt;0,G49/G48,0)</f>
        <v>0.20745309438189283</v>
      </c>
      <c r="H22" s="76">
        <f>'Scenario Analysis'!H31</f>
        <v>0.20745309438189283</v>
      </c>
      <c r="I22" s="77">
        <f>'Scenario Analysis'!I31</f>
        <v>0.20745309438189283</v>
      </c>
      <c r="J22" s="77">
        <f>'Scenario Analysis'!J31</f>
        <v>0.20745309438189283</v>
      </c>
      <c r="K22" s="77">
        <f>'Scenario Analysis'!K31</f>
        <v>0.20745309438189283</v>
      </c>
      <c r="L22" s="77">
        <f>'Scenario Analysis'!L31</f>
        <v>0.20745309438189283</v>
      </c>
      <c r="M22" s="77">
        <f>'Scenario Analysis'!M31</f>
        <v>0.20745309438189283</v>
      </c>
      <c r="N22" s="77">
        <f>'Scenario Analysis'!N31</f>
        <v>0.20745309438189283</v>
      </c>
      <c r="O22" s="77">
        <f>'Scenario Analysis'!O31</f>
        <v>0.20745309438189283</v>
      </c>
      <c r="P22" s="77">
        <f>'Scenario Analysis'!P31</f>
        <v>0.20745309438189283</v>
      </c>
      <c r="Q22" s="77">
        <f>'Scenario Analysis'!Q31</f>
        <v>0.20745309438189283</v>
      </c>
    </row>
    <row r="23" spans="1:17" outlineLevel="1" x14ac:dyDescent="0.3">
      <c r="A23" s="32" t="s">
        <v>18</v>
      </c>
      <c r="B23" s="32"/>
      <c r="C23" s="55"/>
      <c r="D23" s="55">
        <f>D45/AVERAGE(C63:D63)</f>
        <v>0.05</v>
      </c>
      <c r="E23" s="55">
        <f>E45/AVERAGE(D63:E63)</f>
        <v>3.7499999999999999E-2</v>
      </c>
      <c r="F23" s="55">
        <f>F45/AVERAGE(E63:F63)</f>
        <v>0.05</v>
      </c>
      <c r="G23" s="55">
        <f>G45/AVERAGE(F63:G63)</f>
        <v>0.05</v>
      </c>
      <c r="H23" s="76">
        <f>'Scenario Analysis'!H32</f>
        <v>0.05</v>
      </c>
      <c r="I23" s="77">
        <f>'Scenario Analysis'!I32</f>
        <v>0.05</v>
      </c>
      <c r="J23" s="77">
        <f>'Scenario Analysis'!J32</f>
        <v>0.05</v>
      </c>
      <c r="K23" s="77">
        <f>'Scenario Analysis'!K32</f>
        <v>0.05</v>
      </c>
      <c r="L23" s="77">
        <f>'Scenario Analysis'!L32</f>
        <v>0.05</v>
      </c>
      <c r="M23" s="77">
        <f>'Scenario Analysis'!M32</f>
        <v>0.05</v>
      </c>
      <c r="N23" s="77">
        <f>'Scenario Analysis'!N32</f>
        <v>0.05</v>
      </c>
      <c r="O23" s="77">
        <f>'Scenario Analysis'!O32</f>
        <v>0.05</v>
      </c>
      <c r="P23" s="77">
        <f>'Scenario Analysis'!P32</f>
        <v>0.05</v>
      </c>
      <c r="Q23" s="77">
        <f>'Scenario Analysis'!Q32</f>
        <v>0.05</v>
      </c>
    </row>
    <row r="24" spans="1:17" outlineLevel="1" x14ac:dyDescent="0.3"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outlineLevel="1" x14ac:dyDescent="0.3">
      <c r="A25" s="31" t="s">
        <v>19</v>
      </c>
      <c r="B25" s="31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outlineLevel="1" x14ac:dyDescent="0.3">
      <c r="A26" s="32" t="s">
        <v>20</v>
      </c>
      <c r="B26" s="32"/>
      <c r="C26" s="58">
        <f>C57/C40*C12</f>
        <v>73</v>
      </c>
      <c r="D26" s="58">
        <f>D57/D40*D12</f>
        <v>73.2</v>
      </c>
      <c r="E26" s="58">
        <f>E57/E40*E12</f>
        <v>73</v>
      </c>
      <c r="F26" s="58">
        <f>F57/F40*F12</f>
        <v>73</v>
      </c>
      <c r="G26" s="58">
        <f>G57/G40*G12</f>
        <v>73</v>
      </c>
      <c r="H26" s="80">
        <f>'Scenario Analysis'!H35</f>
        <v>73</v>
      </c>
      <c r="I26" s="81">
        <f>'Scenario Analysis'!I35</f>
        <v>73</v>
      </c>
      <c r="J26" s="81">
        <f>'Scenario Analysis'!J35</f>
        <v>73</v>
      </c>
      <c r="K26" s="81">
        <f>'Scenario Analysis'!K35</f>
        <v>73</v>
      </c>
      <c r="L26" s="81">
        <f>'Scenario Analysis'!L35</f>
        <v>73</v>
      </c>
      <c r="M26" s="81">
        <f>'Scenario Analysis'!M35</f>
        <v>73</v>
      </c>
      <c r="N26" s="81">
        <f>'Scenario Analysis'!N35</f>
        <v>73</v>
      </c>
      <c r="O26" s="81">
        <f>'Scenario Analysis'!O35</f>
        <v>73</v>
      </c>
      <c r="P26" s="81">
        <f>'Scenario Analysis'!P35</f>
        <v>73</v>
      </c>
      <c r="Q26" s="81">
        <f>'Scenario Analysis'!Q35</f>
        <v>73</v>
      </c>
    </row>
    <row r="27" spans="1:17" outlineLevel="1" x14ac:dyDescent="0.3">
      <c r="A27" s="32" t="s">
        <v>21</v>
      </c>
      <c r="B27" s="32"/>
      <c r="C27" s="58">
        <f>C56/C39*C12</f>
        <v>18.25</v>
      </c>
      <c r="D27" s="58">
        <f>D56/D39*D12</f>
        <v>18.3</v>
      </c>
      <c r="E27" s="58">
        <f>E56/E39*E12</f>
        <v>18.25</v>
      </c>
      <c r="F27" s="58">
        <f>F56/F39*F12</f>
        <v>18.25</v>
      </c>
      <c r="G27" s="58">
        <f>G56/G39*G12</f>
        <v>18.25</v>
      </c>
      <c r="H27" s="80">
        <f>'Scenario Analysis'!H36</f>
        <v>18.25</v>
      </c>
      <c r="I27" s="81">
        <f>'Scenario Analysis'!I36</f>
        <v>18.25</v>
      </c>
      <c r="J27" s="81">
        <f>'Scenario Analysis'!J36</f>
        <v>18.25</v>
      </c>
      <c r="K27" s="81">
        <f>'Scenario Analysis'!K36</f>
        <v>18.25</v>
      </c>
      <c r="L27" s="81">
        <f>'Scenario Analysis'!L36</f>
        <v>18.25</v>
      </c>
      <c r="M27" s="81">
        <f>'Scenario Analysis'!M36</f>
        <v>18.25</v>
      </c>
      <c r="N27" s="81">
        <f>'Scenario Analysis'!N36</f>
        <v>18.25</v>
      </c>
      <c r="O27" s="81">
        <f>'Scenario Analysis'!O36</f>
        <v>18.25</v>
      </c>
      <c r="P27" s="81">
        <f>'Scenario Analysis'!P36</f>
        <v>18.25</v>
      </c>
      <c r="Q27" s="81">
        <f>'Scenario Analysis'!Q36</f>
        <v>18.25</v>
      </c>
    </row>
    <row r="28" spans="1:17" outlineLevel="1" x14ac:dyDescent="0.3">
      <c r="A28" s="32"/>
      <c r="B28" s="32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1:17" outlineLevel="1" x14ac:dyDescent="0.3">
      <c r="A29" s="32" t="s">
        <v>22</v>
      </c>
      <c r="B29" s="32"/>
      <c r="C29" s="59">
        <f>C62/C40*C12</f>
        <v>36.5</v>
      </c>
      <c r="D29" s="59">
        <f>D62/D40*D12</f>
        <v>36.6</v>
      </c>
      <c r="E29" s="59">
        <f>E62/E40*E12</f>
        <v>36.5</v>
      </c>
      <c r="F29" s="59">
        <f>F62/F40*F12</f>
        <v>36.5</v>
      </c>
      <c r="G29" s="59">
        <f>G62/G40*G12</f>
        <v>36.5</v>
      </c>
      <c r="H29" s="80">
        <f>'Scenario Analysis'!H38</f>
        <v>36.5</v>
      </c>
      <c r="I29" s="81">
        <f>'Scenario Analysis'!I38</f>
        <v>36.5</v>
      </c>
      <c r="J29" s="81">
        <f>'Scenario Analysis'!J38</f>
        <v>36.5</v>
      </c>
      <c r="K29" s="81">
        <f>'Scenario Analysis'!K38</f>
        <v>36.5</v>
      </c>
      <c r="L29" s="81">
        <f>'Scenario Analysis'!L38</f>
        <v>36.5</v>
      </c>
      <c r="M29" s="81">
        <f>'Scenario Analysis'!M38</f>
        <v>36.5</v>
      </c>
      <c r="N29" s="81">
        <f>'Scenario Analysis'!N38</f>
        <v>36.5</v>
      </c>
      <c r="O29" s="81">
        <f>'Scenario Analysis'!O38</f>
        <v>36.5</v>
      </c>
      <c r="P29" s="81">
        <f>'Scenario Analysis'!P38</f>
        <v>36.5</v>
      </c>
      <c r="Q29" s="81">
        <f>'Scenario Analysis'!Q38</f>
        <v>36.5</v>
      </c>
    </row>
    <row r="30" spans="1:17" outlineLevel="1" x14ac:dyDescent="0.3">
      <c r="A30" s="32"/>
      <c r="B30" s="32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outlineLevel="1" x14ac:dyDescent="0.3">
      <c r="A31" s="32" t="s">
        <v>23</v>
      </c>
      <c r="B31" s="32"/>
      <c r="C31" s="54">
        <f>-C82/C39</f>
        <v>0.14704873194976814</v>
      </c>
      <c r="D31" s="54">
        <f t="shared" ref="D31:G31" si="7">-D82/D39</f>
        <v>0.12702606574869163</v>
      </c>
      <c r="E31" s="54">
        <f t="shared" si="7"/>
        <v>0.11420305302828429</v>
      </c>
      <c r="F31" s="54">
        <f t="shared" si="7"/>
        <v>0.10538074061584504</v>
      </c>
      <c r="G31" s="54">
        <f t="shared" si="7"/>
        <v>9.9487968588332046E-2</v>
      </c>
      <c r="H31" s="82">
        <f>'Scenario Analysis'!H40</f>
        <v>9.9487968588332046E-2</v>
      </c>
      <c r="I31" s="83">
        <f>'Scenario Analysis'!I40</f>
        <v>9.9487968588332046E-2</v>
      </c>
      <c r="J31" s="83">
        <f>'Scenario Analysis'!J40</f>
        <v>9.9487968588332046E-2</v>
      </c>
      <c r="K31" s="83">
        <f>'Scenario Analysis'!K40</f>
        <v>9.9487968588332046E-2</v>
      </c>
      <c r="L31" s="83">
        <f>'Scenario Analysis'!L40</f>
        <v>9.9487968588332046E-2</v>
      </c>
      <c r="M31" s="83">
        <f>'Scenario Analysis'!M40</f>
        <v>9.9487968588332046E-2</v>
      </c>
      <c r="N31" s="83">
        <f>'Scenario Analysis'!N40</f>
        <v>9.9487968588332046E-2</v>
      </c>
      <c r="O31" s="83">
        <f>'Scenario Analysis'!O40</f>
        <v>9.9487968588332046E-2</v>
      </c>
      <c r="P31" s="83">
        <f>'Scenario Analysis'!P40</f>
        <v>9.9487968588332046E-2</v>
      </c>
      <c r="Q31" s="83">
        <f>'Scenario Analysis'!Q40</f>
        <v>9.9487968588332046E-2</v>
      </c>
    </row>
    <row r="32" spans="1:17" outlineLevel="1" x14ac:dyDescent="0.3">
      <c r="A32" s="32" t="s">
        <v>24</v>
      </c>
      <c r="B32" s="32"/>
      <c r="D32" s="54">
        <f>D46/C105</f>
        <v>0.36299999999999993</v>
      </c>
      <c r="E32" s="54">
        <f>E46/D105</f>
        <v>0.37813186813186805</v>
      </c>
      <c r="F32" s="54">
        <f>F46/E105</f>
        <v>0.39063754427390784</v>
      </c>
      <c r="G32" s="54">
        <f>G46/F105</f>
        <v>0.40055922281728723</v>
      </c>
      <c r="H32" s="82">
        <f>'Scenario Analysis'!H41</f>
        <v>0.40055922281728723</v>
      </c>
      <c r="I32" s="83">
        <f>'Scenario Analysis'!I41</f>
        <v>0.40055922281728723</v>
      </c>
      <c r="J32" s="83">
        <f>'Scenario Analysis'!J41</f>
        <v>0.40055922281728723</v>
      </c>
      <c r="K32" s="83">
        <f>'Scenario Analysis'!K41</f>
        <v>0.40055922281728723</v>
      </c>
      <c r="L32" s="83">
        <f>'Scenario Analysis'!L41</f>
        <v>0.40055922281728723</v>
      </c>
      <c r="M32" s="83">
        <f>'Scenario Analysis'!M41</f>
        <v>0.40055922281728723</v>
      </c>
      <c r="N32" s="83">
        <f>'Scenario Analysis'!N41</f>
        <v>0.40055922281728723</v>
      </c>
      <c r="O32" s="83">
        <f>'Scenario Analysis'!O41</f>
        <v>0.40055922281728723</v>
      </c>
      <c r="P32" s="83">
        <f>'Scenario Analysis'!P41</f>
        <v>0.40055922281728723</v>
      </c>
      <c r="Q32" s="83">
        <f>'Scenario Analysis'!Q41</f>
        <v>0.40055922281728723</v>
      </c>
    </row>
    <row r="33" spans="1:17" outlineLevel="1" x14ac:dyDescent="0.3">
      <c r="A33" s="32"/>
      <c r="B33" s="32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1:17" outlineLevel="1" x14ac:dyDescent="0.3">
      <c r="A34" s="32" t="s">
        <v>25</v>
      </c>
      <c r="B34" s="32"/>
      <c r="D34" s="44">
        <f>D63-C63</f>
        <v>0</v>
      </c>
      <c r="E34" s="44">
        <f>E63-D63</f>
        <v>-20000</v>
      </c>
      <c r="F34" s="44">
        <f>F63-E63</f>
        <v>0</v>
      </c>
      <c r="G34" s="44">
        <f>G63-F63</f>
        <v>0</v>
      </c>
      <c r="H34" s="80">
        <f>'Scenario Analysis'!H43</f>
        <v>0</v>
      </c>
      <c r="I34" s="81">
        <f>'Scenario Analysis'!I43</f>
        <v>0</v>
      </c>
      <c r="J34" s="81">
        <f>'Scenario Analysis'!J43</f>
        <v>0</v>
      </c>
      <c r="K34" s="81">
        <f>'Scenario Analysis'!K43</f>
        <v>0</v>
      </c>
      <c r="L34" s="81">
        <f>'Scenario Analysis'!L43</f>
        <v>0</v>
      </c>
      <c r="M34" s="81">
        <f>'Scenario Analysis'!M43</f>
        <v>0</v>
      </c>
      <c r="N34" s="81">
        <f>'Scenario Analysis'!N43</f>
        <v>0</v>
      </c>
      <c r="O34" s="81">
        <f>'Scenario Analysis'!O43</f>
        <v>0</v>
      </c>
      <c r="P34" s="81">
        <f>'Scenario Analysis'!P43</f>
        <v>0</v>
      </c>
      <c r="Q34" s="81">
        <f>'Scenario Analysis'!Q43</f>
        <v>0</v>
      </c>
    </row>
    <row r="35" spans="1:17" outlineLevel="1" x14ac:dyDescent="0.3">
      <c r="A35" s="32" t="s">
        <v>90</v>
      </c>
      <c r="B35" s="32"/>
      <c r="D35" s="44">
        <f>D66-C66</f>
        <v>0</v>
      </c>
      <c r="E35" s="44">
        <f>E66-D66</f>
        <v>0</v>
      </c>
      <c r="F35" s="44">
        <f>F66-E66</f>
        <v>0</v>
      </c>
      <c r="G35" s="44">
        <f>G66-F66</f>
        <v>0</v>
      </c>
      <c r="H35" s="80">
        <f>'Scenario Analysis'!H44</f>
        <v>0</v>
      </c>
      <c r="I35" s="80">
        <f>'Scenario Analysis'!I44</f>
        <v>0</v>
      </c>
      <c r="J35" s="80">
        <f>'Scenario Analysis'!J44</f>
        <v>0</v>
      </c>
      <c r="K35" s="80">
        <f>'Scenario Analysis'!K44</f>
        <v>0</v>
      </c>
      <c r="L35" s="80">
        <f>'Scenario Analysis'!L44</f>
        <v>0</v>
      </c>
      <c r="M35" s="80">
        <f>'Scenario Analysis'!M44</f>
        <v>0</v>
      </c>
      <c r="N35" s="80">
        <f>'Scenario Analysis'!N44</f>
        <v>0</v>
      </c>
      <c r="O35" s="80">
        <f>'Scenario Analysis'!O44</f>
        <v>0</v>
      </c>
      <c r="P35" s="80">
        <f>'Scenario Analysis'!P44</f>
        <v>0</v>
      </c>
      <c r="Q35" s="80">
        <f>'Scenario Analysis'!Q44</f>
        <v>0</v>
      </c>
    </row>
    <row r="36" spans="1:17" x14ac:dyDescent="0.3">
      <c r="A36" s="32"/>
      <c r="B36" s="32"/>
    </row>
    <row r="37" spans="1:17" x14ac:dyDescent="0.3">
      <c r="A37" s="34" t="s">
        <v>26</v>
      </c>
      <c r="B37" s="34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</row>
    <row r="38" spans="1:17" outlineLevel="1" x14ac:dyDescent="0.3"/>
    <row r="39" spans="1:17" ht="15.5" outlineLevel="1" x14ac:dyDescent="0.35">
      <c r="A39" s="25" t="s">
        <v>10</v>
      </c>
      <c r="B39" s="25"/>
      <c r="C39" s="85">
        <v>102007</v>
      </c>
      <c r="D39" s="85">
        <v>118086</v>
      </c>
      <c r="E39" s="85">
        <v>131345</v>
      </c>
      <c r="F39" s="85">
        <v>142341</v>
      </c>
      <c r="G39" s="85">
        <v>150772</v>
      </c>
      <c r="H39" s="58">
        <f t="shared" ref="H39:Q39" si="8">G39*(1+H14)</f>
        <v>158310.6</v>
      </c>
      <c r="I39" s="58">
        <f t="shared" si="8"/>
        <v>167809.236</v>
      </c>
      <c r="J39" s="58">
        <f t="shared" si="8"/>
        <v>179555.88252000001</v>
      </c>
      <c r="K39" s="58">
        <f t="shared" si="8"/>
        <v>193920.35312160003</v>
      </c>
      <c r="L39" s="58">
        <f t="shared" si="8"/>
        <v>211373.18490254405</v>
      </c>
      <c r="M39" s="58">
        <f t="shared" si="8"/>
        <v>232510.50339279848</v>
      </c>
      <c r="N39" s="58">
        <f t="shared" si="8"/>
        <v>255761.55373207835</v>
      </c>
      <c r="O39" s="58">
        <f t="shared" si="8"/>
        <v>281337.70910528622</v>
      </c>
      <c r="P39" s="58">
        <f t="shared" si="8"/>
        <v>309471.48001581489</v>
      </c>
      <c r="Q39" s="58">
        <f t="shared" si="8"/>
        <v>340418.62801739638</v>
      </c>
    </row>
    <row r="40" spans="1:17" ht="15.5" outlineLevel="1" x14ac:dyDescent="0.35">
      <c r="A40" t="s">
        <v>27</v>
      </c>
      <c r="C40" s="86">
        <v>39023</v>
      </c>
      <c r="D40" s="86">
        <v>48004</v>
      </c>
      <c r="E40" s="86">
        <v>49123</v>
      </c>
      <c r="F40" s="86">
        <v>52654</v>
      </c>
      <c r="G40" s="86">
        <v>56710</v>
      </c>
      <c r="H40" s="58">
        <f>H39*H17</f>
        <v>59545.5</v>
      </c>
      <c r="I40" s="58">
        <f t="shared" ref="I40:Q40" si="9">I39*I17</f>
        <v>62089.41732</v>
      </c>
      <c r="J40" s="58">
        <f t="shared" si="9"/>
        <v>64640.117707199999</v>
      </c>
      <c r="K40" s="58">
        <f t="shared" si="9"/>
        <v>67872.123592560005</v>
      </c>
      <c r="L40" s="58">
        <f t="shared" si="9"/>
        <v>73980.614715890406</v>
      </c>
      <c r="M40" s="58">
        <f t="shared" si="9"/>
        <v>81378.676187479461</v>
      </c>
      <c r="N40" s="58">
        <f t="shared" si="9"/>
        <v>89516.543806227419</v>
      </c>
      <c r="O40" s="58">
        <f t="shared" si="9"/>
        <v>98468.198186850175</v>
      </c>
      <c r="P40" s="58">
        <f t="shared" si="9"/>
        <v>108315.01800553521</v>
      </c>
      <c r="Q40" s="58">
        <f t="shared" si="9"/>
        <v>119146.51980608872</v>
      </c>
    </row>
    <row r="41" spans="1:17" ht="15.5" outlineLevel="1" x14ac:dyDescent="0.35">
      <c r="A41" s="30" t="s">
        <v>28</v>
      </c>
      <c r="B41" s="30"/>
      <c r="C41" s="35">
        <f t="shared" ref="C41:Q41" si="10">C39-C40</f>
        <v>62984</v>
      </c>
      <c r="D41" s="35">
        <f t="shared" si="10"/>
        <v>70082</v>
      </c>
      <c r="E41" s="35">
        <f t="shared" si="10"/>
        <v>82222</v>
      </c>
      <c r="F41" s="35">
        <f t="shared" si="10"/>
        <v>89687</v>
      </c>
      <c r="G41" s="35">
        <f t="shared" si="10"/>
        <v>94062</v>
      </c>
      <c r="H41" s="35">
        <f t="shared" si="10"/>
        <v>98765.1</v>
      </c>
      <c r="I41" s="35">
        <f t="shared" si="10"/>
        <v>105719.81868</v>
      </c>
      <c r="J41" s="35">
        <f t="shared" si="10"/>
        <v>114915.76481280001</v>
      </c>
      <c r="K41" s="35">
        <f t="shared" si="10"/>
        <v>126048.22952904002</v>
      </c>
      <c r="L41" s="35">
        <f t="shared" si="10"/>
        <v>137392.57018665364</v>
      </c>
      <c r="M41" s="35">
        <f t="shared" si="10"/>
        <v>151131.82720531902</v>
      </c>
      <c r="N41" s="35">
        <f t="shared" si="10"/>
        <v>166245.00992585093</v>
      </c>
      <c r="O41" s="35">
        <f t="shared" si="10"/>
        <v>182869.51091843605</v>
      </c>
      <c r="P41" s="35">
        <f t="shared" si="10"/>
        <v>201156.46201027968</v>
      </c>
      <c r="Q41" s="35">
        <f t="shared" si="10"/>
        <v>221272.10821130767</v>
      </c>
    </row>
    <row r="42" spans="1:17" ht="15.5" outlineLevel="1" x14ac:dyDescent="0.35">
      <c r="A42" s="25" t="s">
        <v>11</v>
      </c>
      <c r="B42" s="25"/>
      <c r="C42" s="1"/>
      <c r="D42" s="1"/>
      <c r="E42" s="1"/>
      <c r="F42" s="1"/>
      <c r="G42" s="1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1:17" ht="15.5" outlineLevel="1" x14ac:dyDescent="0.35">
      <c r="A43" t="s">
        <v>13</v>
      </c>
      <c r="C43" s="87">
        <v>26427</v>
      </c>
      <c r="D43" s="87">
        <v>22658</v>
      </c>
      <c r="E43" s="87">
        <v>23872</v>
      </c>
      <c r="F43" s="87">
        <v>23002</v>
      </c>
      <c r="G43" s="87">
        <v>25245</v>
      </c>
      <c r="H43" s="58">
        <f>H$39*H18</f>
        <v>26507.25</v>
      </c>
      <c r="I43" s="58">
        <f t="shared" ref="I43:Q43" si="11">I$39*I18</f>
        <v>26849.477760000002</v>
      </c>
      <c r="J43" s="58">
        <f t="shared" si="11"/>
        <v>28728.941203200004</v>
      </c>
      <c r="K43" s="58">
        <f t="shared" si="11"/>
        <v>29088.052968240005</v>
      </c>
      <c r="L43" s="58">
        <f t="shared" si="11"/>
        <v>31705.977735381606</v>
      </c>
      <c r="M43" s="58">
        <f t="shared" si="11"/>
        <v>34876.57550891977</v>
      </c>
      <c r="N43" s="58">
        <f t="shared" si="11"/>
        <v>38364.233059811748</v>
      </c>
      <c r="O43" s="58">
        <f t="shared" si="11"/>
        <v>42200.656365792929</v>
      </c>
      <c r="P43" s="58">
        <f t="shared" si="11"/>
        <v>46420.722002372233</v>
      </c>
      <c r="Q43" s="58">
        <f t="shared" si="11"/>
        <v>51062.794202609453</v>
      </c>
    </row>
    <row r="44" spans="1:17" ht="15.5" outlineLevel="1" x14ac:dyDescent="0.35">
      <c r="A44" t="s">
        <v>14</v>
      </c>
      <c r="C44" s="87">
        <v>10963</v>
      </c>
      <c r="D44" s="87">
        <v>10125</v>
      </c>
      <c r="E44" s="87">
        <v>10087</v>
      </c>
      <c r="F44" s="87">
        <v>11020</v>
      </c>
      <c r="G44" s="87">
        <v>11412</v>
      </c>
      <c r="H44" s="58">
        <f>H$39*H19</f>
        <v>11982.600000000002</v>
      </c>
      <c r="I44" s="58">
        <f t="shared" ref="I44:Q44" si="12">I$39*I19</f>
        <v>11746.646520000002</v>
      </c>
      <c r="J44" s="58">
        <f t="shared" si="12"/>
        <v>12568.911776400002</v>
      </c>
      <c r="K44" s="58">
        <f t="shared" si="12"/>
        <v>11635.221187296002</v>
      </c>
      <c r="L44" s="58">
        <f t="shared" si="12"/>
        <v>12682.391094152643</v>
      </c>
      <c r="M44" s="58">
        <f t="shared" si="12"/>
        <v>13950.630203567907</v>
      </c>
      <c r="N44" s="58">
        <f t="shared" si="12"/>
        <v>15345.6932239247</v>
      </c>
      <c r="O44" s="58">
        <f t="shared" si="12"/>
        <v>16880.262546317172</v>
      </c>
      <c r="P44" s="58">
        <f t="shared" si="12"/>
        <v>18568.288800948892</v>
      </c>
      <c r="Q44" s="58">
        <f t="shared" si="12"/>
        <v>20425.117681043783</v>
      </c>
    </row>
    <row r="45" spans="1:17" ht="15.5" outlineLevel="1" x14ac:dyDescent="0.35">
      <c r="A45" t="s">
        <v>30</v>
      </c>
      <c r="C45" s="86">
        <v>2500</v>
      </c>
      <c r="D45" s="86">
        <v>2500</v>
      </c>
      <c r="E45" s="86">
        <v>1500</v>
      </c>
      <c r="F45" s="86">
        <v>1500</v>
      </c>
      <c r="G45" s="86">
        <v>1500</v>
      </c>
      <c r="H45" s="58">
        <f>H114</f>
        <v>1500.0000000000005</v>
      </c>
      <c r="I45" s="58">
        <f t="shared" ref="I45:Q45" si="13">I114</f>
        <v>1500.0000000000005</v>
      </c>
      <c r="J45" s="58">
        <f t="shared" si="13"/>
        <v>1500.0000000000005</v>
      </c>
      <c r="K45" s="58">
        <f t="shared" si="13"/>
        <v>1500.0000000000005</v>
      </c>
      <c r="L45" s="58">
        <f t="shared" si="13"/>
        <v>1500.0000000000005</v>
      </c>
      <c r="M45" s="58">
        <f t="shared" si="13"/>
        <v>1500.0000000000005</v>
      </c>
      <c r="N45" s="58">
        <f t="shared" si="13"/>
        <v>1500.0000000000005</v>
      </c>
      <c r="O45" s="58">
        <f t="shared" si="13"/>
        <v>1500.0000000000005</v>
      </c>
      <c r="P45" s="58">
        <f t="shared" si="13"/>
        <v>1500.0000000000005</v>
      </c>
      <c r="Q45" s="58">
        <f t="shared" si="13"/>
        <v>1500.0000000000005</v>
      </c>
    </row>
    <row r="46" spans="1:17" ht="15.5" outlineLevel="1" x14ac:dyDescent="0.35">
      <c r="A46" t="s">
        <v>15</v>
      </c>
      <c r="C46" s="87">
        <v>19500</v>
      </c>
      <c r="D46" s="87">
        <v>18150</v>
      </c>
      <c r="E46" s="87">
        <v>17205</v>
      </c>
      <c r="F46" s="87">
        <v>16543.5</v>
      </c>
      <c r="G46" s="87">
        <v>16080.449999999999</v>
      </c>
      <c r="H46" s="58">
        <f>-H107</f>
        <v>15029.402627288579</v>
      </c>
      <c r="I46" s="58">
        <f t="shared" ref="I46:Q46" si="14">-I107</f>
        <v>15318.044550866047</v>
      </c>
      <c r="J46" s="58">
        <f t="shared" si="14"/>
        <v>15869.596755425171</v>
      </c>
      <c r="K46" s="58">
        <f t="shared" si="14"/>
        <v>16668.333173328356</v>
      </c>
      <c r="L46" s="58">
        <f t="shared" si="14"/>
        <v>17719.56433329478</v>
      </c>
      <c r="M46" s="58">
        <f t="shared" si="14"/>
        <v>19045.224873561838</v>
      </c>
      <c r="N46" s="58">
        <f t="shared" si="14"/>
        <v>20682.219403927233</v>
      </c>
      <c r="O46" s="58">
        <f t="shared" si="14"/>
        <v>22590.074177863298</v>
      </c>
      <c r="P46" s="58">
        <f t="shared" si="14"/>
        <v>24752.950976754255</v>
      </c>
      <c r="Q46" s="58">
        <f t="shared" si="14"/>
        <v>27170.621461527986</v>
      </c>
    </row>
    <row r="47" spans="1:17" ht="15.5" outlineLevel="1" x14ac:dyDescent="0.35">
      <c r="A47" s="30" t="s">
        <v>29</v>
      </c>
      <c r="B47" s="30"/>
      <c r="C47" s="49">
        <f>SUM(C43:C45)</f>
        <v>39890</v>
      </c>
      <c r="D47" s="49">
        <f>SUM(D43:D45)</f>
        <v>35283</v>
      </c>
      <c r="E47" s="49">
        <f>SUM(E43:E45)</f>
        <v>35459</v>
      </c>
      <c r="F47" s="49">
        <f>SUM(F43:F45)</f>
        <v>35522</v>
      </c>
      <c r="G47" s="49">
        <f>SUM(G43:G45)</f>
        <v>38157</v>
      </c>
      <c r="H47" s="49">
        <f t="shared" ref="H47:Q47" si="15">SUM(H43:H45)</f>
        <v>39989.850000000006</v>
      </c>
      <c r="I47" s="49">
        <f t="shared" si="15"/>
        <v>40096.124280000004</v>
      </c>
      <c r="J47" s="49">
        <f t="shared" si="15"/>
        <v>42797.852979600008</v>
      </c>
      <c r="K47" s="49">
        <f t="shared" si="15"/>
        <v>42223.274155536004</v>
      </c>
      <c r="L47" s="49">
        <f t="shared" si="15"/>
        <v>45888.368829534251</v>
      </c>
      <c r="M47" s="49">
        <f t="shared" si="15"/>
        <v>50327.205712487674</v>
      </c>
      <c r="N47" s="49">
        <f t="shared" si="15"/>
        <v>55209.926283736451</v>
      </c>
      <c r="O47" s="49">
        <f t="shared" si="15"/>
        <v>60580.918912110101</v>
      </c>
      <c r="P47" s="49">
        <f t="shared" si="15"/>
        <v>66489.010803321129</v>
      </c>
      <c r="Q47" s="49">
        <f t="shared" si="15"/>
        <v>72987.911883653229</v>
      </c>
    </row>
    <row r="48" spans="1:17" ht="15.5" outlineLevel="1" x14ac:dyDescent="0.35">
      <c r="A48" s="30" t="s">
        <v>49</v>
      </c>
      <c r="B48" s="30"/>
      <c r="C48" s="49">
        <f>C41-C47</f>
        <v>23094</v>
      </c>
      <c r="D48" s="49">
        <f>D41-D47</f>
        <v>34799</v>
      </c>
      <c r="E48" s="49">
        <f>E41-E47</f>
        <v>46763</v>
      </c>
      <c r="F48" s="49">
        <f>F41-F47</f>
        <v>54165</v>
      </c>
      <c r="G48" s="49">
        <f>G41-G47</f>
        <v>55905</v>
      </c>
      <c r="H48" s="49">
        <f t="shared" ref="H48:Q48" si="16">H41-H47</f>
        <v>58775.25</v>
      </c>
      <c r="I48" s="49">
        <f t="shared" si="16"/>
        <v>65623.694399999993</v>
      </c>
      <c r="J48" s="49">
        <f t="shared" si="16"/>
        <v>72117.911833200007</v>
      </c>
      <c r="K48" s="49">
        <f t="shared" si="16"/>
        <v>83824.955373504024</v>
      </c>
      <c r="L48" s="49">
        <f t="shared" si="16"/>
        <v>91504.201357119397</v>
      </c>
      <c r="M48" s="49">
        <f t="shared" si="16"/>
        <v>100804.62149283134</v>
      </c>
      <c r="N48" s="49">
        <f t="shared" si="16"/>
        <v>111035.08364211448</v>
      </c>
      <c r="O48" s="49">
        <f t="shared" si="16"/>
        <v>122288.59200632595</v>
      </c>
      <c r="P48" s="49">
        <f t="shared" si="16"/>
        <v>134667.45120695856</v>
      </c>
      <c r="Q48" s="49">
        <f t="shared" si="16"/>
        <v>148284.19632765444</v>
      </c>
    </row>
    <row r="49" spans="1:17" ht="15.5" outlineLevel="1" x14ac:dyDescent="0.35">
      <c r="A49" t="s">
        <v>31</v>
      </c>
      <c r="C49" s="87">
        <v>1120.1708000000001</v>
      </c>
      <c r="D49" s="87">
        <v>4858.2165021220308</v>
      </c>
      <c r="E49" s="87">
        <v>8482.8061148686775</v>
      </c>
      <c r="F49" s="87">
        <v>10908.02097640469</v>
      </c>
      <c r="G49" s="87">
        <v>11597.665241419718</v>
      </c>
      <c r="H49" s="58">
        <f>H48*H22</f>
        <v>12193.107485569346</v>
      </c>
      <c r="I49" s="58">
        <f t="shared" ref="I49:Q49" si="17">I48*I22</f>
        <v>13613.83846805169</v>
      </c>
      <c r="J49" s="58">
        <f t="shared" si="17"/>
        <v>14961.083970157866</v>
      </c>
      <c r="K49" s="58">
        <f t="shared" si="17"/>
        <v>17389.746378657484</v>
      </c>
      <c r="L49" s="58">
        <f t="shared" si="17"/>
        <v>18982.829720478217</v>
      </c>
      <c r="M49" s="58">
        <f t="shared" si="17"/>
        <v>20912.230656683321</v>
      </c>
      <c r="N49" s="58">
        <f t="shared" si="17"/>
        <v>23034.571686508938</v>
      </c>
      <c r="O49" s="58">
        <f t="shared" si="17"/>
        <v>25369.146819317124</v>
      </c>
      <c r="P49" s="58">
        <f t="shared" si="17"/>
        <v>27937.179465406123</v>
      </c>
      <c r="Q49" s="58">
        <f t="shared" si="17"/>
        <v>30762.015376104024</v>
      </c>
    </row>
    <row r="50" spans="1:17" ht="16" outlineLevel="1" thickBot="1" x14ac:dyDescent="0.4">
      <c r="A50" s="37" t="s">
        <v>32</v>
      </c>
      <c r="B50" s="37"/>
      <c r="C50" s="50">
        <f t="shared" ref="C50:Q50" si="18">C48-C49</f>
        <v>21973.8292</v>
      </c>
      <c r="D50" s="50">
        <f t="shared" si="18"/>
        <v>29940.783497877968</v>
      </c>
      <c r="E50" s="50">
        <f t="shared" si="18"/>
        <v>38280.193885131324</v>
      </c>
      <c r="F50" s="50">
        <f t="shared" si="18"/>
        <v>43256.979023595311</v>
      </c>
      <c r="G50" s="50">
        <f t="shared" si="18"/>
        <v>44307.334758580284</v>
      </c>
      <c r="H50" s="50">
        <f t="shared" si="18"/>
        <v>46582.142514430656</v>
      </c>
      <c r="I50" s="50">
        <f t="shared" si="18"/>
        <v>52009.855931948303</v>
      </c>
      <c r="J50" s="50">
        <f t="shared" si="18"/>
        <v>57156.827863042141</v>
      </c>
      <c r="K50" s="50">
        <f t="shared" si="18"/>
        <v>66435.208994846544</v>
      </c>
      <c r="L50" s="50">
        <f t="shared" si="18"/>
        <v>72521.371636641183</v>
      </c>
      <c r="M50" s="50">
        <f t="shared" si="18"/>
        <v>79892.390836148028</v>
      </c>
      <c r="N50" s="50">
        <f t="shared" si="18"/>
        <v>88000.511955605543</v>
      </c>
      <c r="O50" s="50">
        <f t="shared" si="18"/>
        <v>96919.445187008823</v>
      </c>
      <c r="P50" s="50">
        <f t="shared" si="18"/>
        <v>106730.27174155244</v>
      </c>
      <c r="Q50" s="50">
        <f t="shared" si="18"/>
        <v>117522.18095155041</v>
      </c>
    </row>
    <row r="51" spans="1:17" ht="16" thickTop="1" x14ac:dyDescent="0.35">
      <c r="C51" s="1"/>
      <c r="D51" s="1"/>
      <c r="E51" s="1"/>
      <c r="F51" s="1"/>
      <c r="G51" s="1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1:17" x14ac:dyDescent="0.3">
      <c r="A52" s="34" t="s">
        <v>19</v>
      </c>
      <c r="B52" s="34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</row>
    <row r="53" spans="1:17" ht="15.5" outlineLevel="1" x14ac:dyDescent="0.35">
      <c r="C53" s="1"/>
      <c r="D53" s="1"/>
      <c r="E53" s="1"/>
      <c r="F53" s="1"/>
      <c r="G53" s="1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1:17" ht="15.5" outlineLevel="1" x14ac:dyDescent="0.35">
      <c r="A54" s="25" t="s">
        <v>37</v>
      </c>
      <c r="B54" s="25"/>
      <c r="C54" s="1"/>
      <c r="D54" s="1"/>
      <c r="E54" s="1"/>
      <c r="F54" s="1"/>
      <c r="G54" s="1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15.5" outlineLevel="1" x14ac:dyDescent="0.35">
      <c r="A55" t="s">
        <v>33</v>
      </c>
      <c r="C55" s="87">
        <v>67971.179200000013</v>
      </c>
      <c r="D55" s="87">
        <v>81209.912697877968</v>
      </c>
      <c r="E55" s="87">
        <v>83715.256583009294</v>
      </c>
      <c r="F55" s="87">
        <v>111069.33560660461</v>
      </c>
      <c r="G55" s="87">
        <v>139549.5203651849</v>
      </c>
      <c r="H55" s="58">
        <f>H92</f>
        <v>184788.48190034676</v>
      </c>
      <c r="I55" s="58">
        <f t="shared" ref="I55:Q55" si="19">I92</f>
        <v>234654.16245771848</v>
      </c>
      <c r="J55" s="58">
        <f t="shared" si="19"/>
        <v>288974.53471146582</v>
      </c>
      <c r="K55" s="58">
        <f t="shared" si="19"/>
        <v>351743.91076102469</v>
      </c>
      <c r="L55" s="58">
        <f t="shared" si="19"/>
        <v>419521.35665044573</v>
      </c>
      <c r="M55" s="58">
        <f t="shared" si="19"/>
        <v>493481.21322961862</v>
      </c>
      <c r="N55" s="58">
        <f t="shared" si="19"/>
        <v>574742.40788651258</v>
      </c>
      <c r="O55" s="58">
        <f t="shared" si="19"/>
        <v>664088.23687848204</v>
      </c>
      <c r="P55" s="58">
        <f t="shared" si="19"/>
        <v>762463.27197840274</v>
      </c>
      <c r="Q55" s="58">
        <f t="shared" si="19"/>
        <v>870586.13724846195</v>
      </c>
    </row>
    <row r="56" spans="1:17" ht="15.5" outlineLevel="1" x14ac:dyDescent="0.35">
      <c r="A56" s="32" t="s">
        <v>34</v>
      </c>
      <c r="B56" s="32"/>
      <c r="C56" s="87">
        <v>5100.3500000000004</v>
      </c>
      <c r="D56" s="87">
        <v>5904.3</v>
      </c>
      <c r="E56" s="87">
        <v>6567.25</v>
      </c>
      <c r="F56" s="87">
        <v>7117.05</v>
      </c>
      <c r="G56" s="87">
        <v>7538.6</v>
      </c>
      <c r="H56" s="58">
        <f t="shared" ref="H56:Q56" si="20">H39/H12*H27</f>
        <v>7893.9028688524595</v>
      </c>
      <c r="I56" s="58">
        <f t="shared" si="20"/>
        <v>8390.4618000000009</v>
      </c>
      <c r="J56" s="58">
        <f t="shared" si="20"/>
        <v>8977.7941260000007</v>
      </c>
      <c r="K56" s="58">
        <f t="shared" si="20"/>
        <v>9696.017656080001</v>
      </c>
      <c r="L56" s="58">
        <f t="shared" si="20"/>
        <v>10539.783126971119</v>
      </c>
      <c r="M56" s="58">
        <f t="shared" si="20"/>
        <v>11625.525169639923</v>
      </c>
      <c r="N56" s="58">
        <f t="shared" si="20"/>
        <v>12788.077686603918</v>
      </c>
      <c r="O56" s="58">
        <f t="shared" si="20"/>
        <v>14066.885455264312</v>
      </c>
      <c r="P56" s="58">
        <f t="shared" si="20"/>
        <v>15431.29647619842</v>
      </c>
      <c r="Q56" s="58">
        <f t="shared" si="20"/>
        <v>17020.93140086982</v>
      </c>
    </row>
    <row r="57" spans="1:17" ht="15.5" outlineLevel="1" x14ac:dyDescent="0.35">
      <c r="A57" t="s">
        <v>35</v>
      </c>
      <c r="C57" s="87">
        <v>7804.6</v>
      </c>
      <c r="D57" s="87">
        <v>9600.8000000000011</v>
      </c>
      <c r="E57" s="87">
        <v>9824.6</v>
      </c>
      <c r="F57" s="87">
        <v>10530.800000000001</v>
      </c>
      <c r="G57" s="87">
        <v>11342</v>
      </c>
      <c r="H57" s="58">
        <f t="shared" ref="H57:Q57" si="21">H40/H12*H26</f>
        <v>11876.561475409835</v>
      </c>
      <c r="I57" s="58">
        <f t="shared" si="21"/>
        <v>12417.883464</v>
      </c>
      <c r="J57" s="58">
        <f t="shared" si="21"/>
        <v>12928.023541439999</v>
      </c>
      <c r="K57" s="58">
        <f t="shared" si="21"/>
        <v>13574.424718512002</v>
      </c>
      <c r="L57" s="58">
        <f t="shared" si="21"/>
        <v>14755.696377759561</v>
      </c>
      <c r="M57" s="58">
        <f t="shared" si="21"/>
        <v>16275.735237495892</v>
      </c>
      <c r="N57" s="58">
        <f t="shared" si="21"/>
        <v>17903.308761245484</v>
      </c>
      <c r="O57" s="58">
        <f t="shared" si="21"/>
        <v>19693.639637370034</v>
      </c>
      <c r="P57" s="58">
        <f t="shared" si="21"/>
        <v>21603.815066677791</v>
      </c>
      <c r="Q57" s="58">
        <f t="shared" si="21"/>
        <v>23829.303961217742</v>
      </c>
    </row>
    <row r="58" spans="1:17" ht="15.5" outlineLevel="1" x14ac:dyDescent="0.35">
      <c r="A58" t="s">
        <v>36</v>
      </c>
      <c r="C58" s="87">
        <v>45500</v>
      </c>
      <c r="D58" s="87">
        <v>42350</v>
      </c>
      <c r="E58" s="87">
        <v>40145</v>
      </c>
      <c r="F58" s="87">
        <v>38601.5</v>
      </c>
      <c r="G58" s="87">
        <v>37521.050000000003</v>
      </c>
      <c r="H58" s="58">
        <f>H108</f>
        <v>38241.647372711435</v>
      </c>
      <c r="I58" s="58">
        <f t="shared" ref="I58:Q58" si="22">I108</f>
        <v>39618.602821845387</v>
      </c>
      <c r="J58" s="58">
        <f t="shared" si="22"/>
        <v>41612.656066420219</v>
      </c>
      <c r="K58" s="58">
        <f t="shared" si="22"/>
        <v>44237.064893091869</v>
      </c>
      <c r="L58" s="58">
        <f t="shared" si="22"/>
        <v>47546.589339797094</v>
      </c>
      <c r="M58" s="58">
        <f t="shared" si="22"/>
        <v>51633.362124235267</v>
      </c>
      <c r="N58" s="58">
        <f t="shared" si="22"/>
        <v>56396.34014410805</v>
      </c>
      <c r="O58" s="58">
        <f t="shared" si="22"/>
        <v>61795.983132424764</v>
      </c>
      <c r="P58" s="58">
        <f t="shared" si="22"/>
        <v>67831.721038468531</v>
      </c>
      <c r="Q58" s="58">
        <f t="shared" si="22"/>
        <v>74528.657348018358</v>
      </c>
    </row>
    <row r="59" spans="1:17" ht="16" outlineLevel="1" thickBot="1" x14ac:dyDescent="0.4">
      <c r="A59" s="39" t="s">
        <v>38</v>
      </c>
      <c r="B59" s="39"/>
      <c r="C59" s="50">
        <f t="shared" ref="C59:Q59" si="23">SUM(C55:C58)</f>
        <v>126376.12920000002</v>
      </c>
      <c r="D59" s="50">
        <f t="shared" si="23"/>
        <v>139065.01269787797</v>
      </c>
      <c r="E59" s="50">
        <f t="shared" si="23"/>
        <v>140252.1065830093</v>
      </c>
      <c r="F59" s="50">
        <f t="shared" si="23"/>
        <v>167318.68560660462</v>
      </c>
      <c r="G59" s="50">
        <f t="shared" si="23"/>
        <v>195951.17036518489</v>
      </c>
      <c r="H59" s="50">
        <f t="shared" si="23"/>
        <v>242800.59361732047</v>
      </c>
      <c r="I59" s="50">
        <f t="shared" si="23"/>
        <v>295081.11054356385</v>
      </c>
      <c r="J59" s="50">
        <f t="shared" si="23"/>
        <v>352493.00844532606</v>
      </c>
      <c r="K59" s="50">
        <f t="shared" si="23"/>
        <v>419251.41802870855</v>
      </c>
      <c r="L59" s="50">
        <f t="shared" si="23"/>
        <v>492363.42549497349</v>
      </c>
      <c r="M59" s="50">
        <f t="shared" si="23"/>
        <v>573015.83576098969</v>
      </c>
      <c r="N59" s="50">
        <f t="shared" si="23"/>
        <v>661830.13447846996</v>
      </c>
      <c r="O59" s="50">
        <f t="shared" si="23"/>
        <v>759644.74510354118</v>
      </c>
      <c r="P59" s="50">
        <f t="shared" si="23"/>
        <v>867330.1045597475</v>
      </c>
      <c r="Q59" s="50">
        <f t="shared" si="23"/>
        <v>985965.02995856793</v>
      </c>
    </row>
    <row r="60" spans="1:17" ht="16" outlineLevel="1" thickTop="1" x14ac:dyDescent="0.35">
      <c r="C60" s="1"/>
      <c r="D60" s="1"/>
      <c r="E60" s="1"/>
      <c r="F60" s="1"/>
      <c r="G60" s="1"/>
      <c r="H60" s="58"/>
      <c r="I60" s="58"/>
      <c r="J60" s="58"/>
      <c r="K60" s="58"/>
      <c r="L60" s="58"/>
      <c r="M60" s="58"/>
      <c r="N60" s="58"/>
      <c r="O60" s="58"/>
      <c r="P60" s="58"/>
      <c r="Q60" s="58"/>
    </row>
    <row r="61" spans="1:17" ht="15.5" outlineLevel="1" x14ac:dyDescent="0.35">
      <c r="A61" s="25" t="s">
        <v>39</v>
      </c>
      <c r="B61" s="40"/>
      <c r="C61" s="1"/>
      <c r="D61" s="1"/>
      <c r="E61" s="1"/>
      <c r="F61" s="1"/>
      <c r="G61" s="1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spans="1:17" ht="15.5" outlineLevel="1" x14ac:dyDescent="0.35">
      <c r="A62" s="32" t="s">
        <v>40</v>
      </c>
      <c r="B62" s="32"/>
      <c r="C62" s="87">
        <v>3902.3</v>
      </c>
      <c r="D62" s="87">
        <v>4800.4000000000005</v>
      </c>
      <c r="E62" s="87">
        <v>4912.3</v>
      </c>
      <c r="F62" s="87">
        <v>5265.4000000000005</v>
      </c>
      <c r="G62" s="87">
        <v>5671</v>
      </c>
      <c r="H62" s="58">
        <f t="shared" ref="H62:Q62" si="24">H40/H12*H29</f>
        <v>5938.2807377049176</v>
      </c>
      <c r="I62" s="58">
        <f t="shared" si="24"/>
        <v>6208.9417320000002</v>
      </c>
      <c r="J62" s="58">
        <f t="shared" si="24"/>
        <v>6464.0117707199997</v>
      </c>
      <c r="K62" s="58">
        <f t="shared" si="24"/>
        <v>6787.212359256001</v>
      </c>
      <c r="L62" s="58">
        <f t="shared" si="24"/>
        <v>7377.8481888797805</v>
      </c>
      <c r="M62" s="58">
        <f t="shared" si="24"/>
        <v>8137.8676187479459</v>
      </c>
      <c r="N62" s="58">
        <f t="shared" si="24"/>
        <v>8951.6543806227419</v>
      </c>
      <c r="O62" s="58">
        <f t="shared" si="24"/>
        <v>9846.8198186850168</v>
      </c>
      <c r="P62" s="58">
        <f t="shared" si="24"/>
        <v>10801.907533338896</v>
      </c>
      <c r="Q62" s="58">
        <f t="shared" si="24"/>
        <v>11914.651980608871</v>
      </c>
    </row>
    <row r="63" spans="1:17" ht="15.5" outlineLevel="1" x14ac:dyDescent="0.35">
      <c r="A63" s="32" t="s">
        <v>41</v>
      </c>
      <c r="B63" s="32"/>
      <c r="C63" s="87">
        <v>50000</v>
      </c>
      <c r="D63" s="87">
        <v>50000</v>
      </c>
      <c r="E63" s="87">
        <v>30000</v>
      </c>
      <c r="F63" s="87">
        <v>30000</v>
      </c>
      <c r="G63" s="87">
        <v>30000</v>
      </c>
      <c r="H63" s="58">
        <f>H113</f>
        <v>30000.000000000007</v>
      </c>
      <c r="I63" s="58">
        <f t="shared" ref="I63:Q63" si="25">I113</f>
        <v>30000.000000000007</v>
      </c>
      <c r="J63" s="58">
        <f t="shared" si="25"/>
        <v>30000.000000000007</v>
      </c>
      <c r="K63" s="58">
        <f t="shared" si="25"/>
        <v>30000.000000000007</v>
      </c>
      <c r="L63" s="58">
        <f t="shared" si="25"/>
        <v>30000.000000000007</v>
      </c>
      <c r="M63" s="58">
        <f t="shared" si="25"/>
        <v>30000.000000000007</v>
      </c>
      <c r="N63" s="58">
        <f t="shared" si="25"/>
        <v>30000.000000000007</v>
      </c>
      <c r="O63" s="58">
        <f t="shared" si="25"/>
        <v>30000.000000000007</v>
      </c>
      <c r="P63" s="58">
        <f t="shared" si="25"/>
        <v>30000.000000000007</v>
      </c>
      <c r="Q63" s="58">
        <f t="shared" si="25"/>
        <v>30000.000000000007</v>
      </c>
    </row>
    <row r="64" spans="1:17" ht="16" outlineLevel="1" thickBot="1" x14ac:dyDescent="0.4">
      <c r="A64" s="37" t="s">
        <v>42</v>
      </c>
      <c r="B64" s="37"/>
      <c r="C64" s="50">
        <f t="shared" ref="C64:Q64" si="26">SUM(C62:C63)</f>
        <v>53902.3</v>
      </c>
      <c r="D64" s="50">
        <f t="shared" si="26"/>
        <v>54800.4</v>
      </c>
      <c r="E64" s="50">
        <f t="shared" si="26"/>
        <v>34912.300000000003</v>
      </c>
      <c r="F64" s="50">
        <f t="shared" si="26"/>
        <v>35265.4</v>
      </c>
      <c r="G64" s="50">
        <f t="shared" si="26"/>
        <v>35671</v>
      </c>
      <c r="H64" s="50">
        <f t="shared" si="26"/>
        <v>35938.280737704925</v>
      </c>
      <c r="I64" s="50">
        <f t="shared" si="26"/>
        <v>36208.941732000007</v>
      </c>
      <c r="J64" s="50">
        <f t="shared" si="26"/>
        <v>36464.011770720004</v>
      </c>
      <c r="K64" s="50">
        <f t="shared" si="26"/>
        <v>36787.212359256009</v>
      </c>
      <c r="L64" s="50">
        <f t="shared" si="26"/>
        <v>37377.848188879791</v>
      </c>
      <c r="M64" s="50">
        <f t="shared" si="26"/>
        <v>38137.86761874795</v>
      </c>
      <c r="N64" s="50">
        <f t="shared" si="26"/>
        <v>38951.654380622749</v>
      </c>
      <c r="O64" s="50">
        <f t="shared" si="26"/>
        <v>39846.81981868502</v>
      </c>
      <c r="P64" s="50">
        <f t="shared" si="26"/>
        <v>40801.907533338905</v>
      </c>
      <c r="Q64" s="50">
        <f t="shared" si="26"/>
        <v>41914.651980608876</v>
      </c>
    </row>
    <row r="65" spans="1:17" ht="16" outlineLevel="1" thickTop="1" x14ac:dyDescent="0.35">
      <c r="A65" s="25" t="s">
        <v>43</v>
      </c>
      <c r="B65" s="25"/>
      <c r="C65" s="1"/>
      <c r="D65" s="1"/>
      <c r="E65" s="1"/>
      <c r="F65" s="1"/>
      <c r="G65" s="1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spans="1:17" ht="15.5" outlineLevel="1" x14ac:dyDescent="0.35">
      <c r="A66" t="s">
        <v>44</v>
      </c>
      <c r="C66" s="87">
        <v>70000</v>
      </c>
      <c r="D66" s="87">
        <v>70000</v>
      </c>
      <c r="E66" s="87">
        <v>70000</v>
      </c>
      <c r="F66" s="87">
        <v>70000</v>
      </c>
      <c r="G66" s="87">
        <v>70000</v>
      </c>
      <c r="H66" s="58">
        <f t="shared" ref="H66:Q66" si="27">G66+H35</f>
        <v>70000</v>
      </c>
      <c r="I66" s="58">
        <f t="shared" si="27"/>
        <v>70000</v>
      </c>
      <c r="J66" s="58">
        <f t="shared" si="27"/>
        <v>70000</v>
      </c>
      <c r="K66" s="58">
        <f t="shared" si="27"/>
        <v>70000</v>
      </c>
      <c r="L66" s="58">
        <f t="shared" si="27"/>
        <v>70000</v>
      </c>
      <c r="M66" s="58">
        <f t="shared" si="27"/>
        <v>70000</v>
      </c>
      <c r="N66" s="58">
        <f t="shared" si="27"/>
        <v>70000</v>
      </c>
      <c r="O66" s="58">
        <f t="shared" si="27"/>
        <v>70000</v>
      </c>
      <c r="P66" s="58">
        <f t="shared" si="27"/>
        <v>70000</v>
      </c>
      <c r="Q66" s="58">
        <f t="shared" si="27"/>
        <v>70000</v>
      </c>
    </row>
    <row r="67" spans="1:17" ht="15.5" outlineLevel="1" x14ac:dyDescent="0.35">
      <c r="A67" t="s">
        <v>45</v>
      </c>
      <c r="C67" s="87">
        <v>2473.8292000000001</v>
      </c>
      <c r="D67" s="87">
        <v>14264.612697877968</v>
      </c>
      <c r="E67" s="87">
        <v>35339.806583009296</v>
      </c>
      <c r="F67" s="87">
        <v>62053.285606604608</v>
      </c>
      <c r="G67" s="87">
        <v>90280.170365184895</v>
      </c>
      <c r="H67" s="58">
        <f t="shared" ref="H67:Q67" si="28">G67+H50</f>
        <v>136862.31287961555</v>
      </c>
      <c r="I67" s="58">
        <f t="shared" si="28"/>
        <v>188872.16881156387</v>
      </c>
      <c r="J67" s="58">
        <f t="shared" si="28"/>
        <v>246028.99667460599</v>
      </c>
      <c r="K67" s="58">
        <f t="shared" si="28"/>
        <v>312464.20566945255</v>
      </c>
      <c r="L67" s="58">
        <f t="shared" si="28"/>
        <v>384985.57730609376</v>
      </c>
      <c r="M67" s="58">
        <f t="shared" si="28"/>
        <v>464877.96814224182</v>
      </c>
      <c r="N67" s="58">
        <f t="shared" si="28"/>
        <v>552878.48009784741</v>
      </c>
      <c r="O67" s="58">
        <f t="shared" si="28"/>
        <v>649797.92528485623</v>
      </c>
      <c r="P67" s="58">
        <f t="shared" si="28"/>
        <v>756528.19702640863</v>
      </c>
      <c r="Q67" s="58">
        <f t="shared" si="28"/>
        <v>874050.377977959</v>
      </c>
    </row>
    <row r="68" spans="1:17" ht="16" outlineLevel="1" thickBot="1" x14ac:dyDescent="0.4">
      <c r="A68" s="37" t="s">
        <v>43</v>
      </c>
      <c r="B68" s="37"/>
      <c r="C68" s="50">
        <f t="shared" ref="C68:Q68" si="29">SUM(C66:C67)</f>
        <v>72473.829200000007</v>
      </c>
      <c r="D68" s="50">
        <f t="shared" si="29"/>
        <v>84264.612697877965</v>
      </c>
      <c r="E68" s="50">
        <f t="shared" si="29"/>
        <v>105339.8065830093</v>
      </c>
      <c r="F68" s="50">
        <f t="shared" si="29"/>
        <v>132053.28560660459</v>
      </c>
      <c r="G68" s="50">
        <f t="shared" si="29"/>
        <v>160280.17036518489</v>
      </c>
      <c r="H68" s="50">
        <f t="shared" si="29"/>
        <v>206862.31287961555</v>
      </c>
      <c r="I68" s="50">
        <f t="shared" si="29"/>
        <v>258872.16881156387</v>
      </c>
      <c r="J68" s="50">
        <f t="shared" si="29"/>
        <v>316028.99667460599</v>
      </c>
      <c r="K68" s="50">
        <f t="shared" si="29"/>
        <v>382464.20566945255</v>
      </c>
      <c r="L68" s="50">
        <f t="shared" si="29"/>
        <v>454985.57730609376</v>
      </c>
      <c r="M68" s="50">
        <f t="shared" si="29"/>
        <v>534877.96814224182</v>
      </c>
      <c r="N68" s="50">
        <f t="shared" si="29"/>
        <v>622878.48009784741</v>
      </c>
      <c r="O68" s="50">
        <f t="shared" si="29"/>
        <v>719797.92528485623</v>
      </c>
      <c r="P68" s="50">
        <f t="shared" si="29"/>
        <v>826528.19702640863</v>
      </c>
      <c r="Q68" s="50">
        <f t="shared" si="29"/>
        <v>944050.377977959</v>
      </c>
    </row>
    <row r="69" spans="1:17" ht="16.5" outlineLevel="1" thickTop="1" thickBot="1" x14ac:dyDescent="0.4">
      <c r="A69" s="70" t="s">
        <v>46</v>
      </c>
      <c r="B69" s="70"/>
      <c r="C69" s="71">
        <f t="shared" ref="C69:Q69" si="30">C64+C68</f>
        <v>126376.12920000001</v>
      </c>
      <c r="D69" s="71">
        <f t="shared" si="30"/>
        <v>139065.01269787797</v>
      </c>
      <c r="E69" s="71">
        <f t="shared" si="30"/>
        <v>140252.1065830093</v>
      </c>
      <c r="F69" s="71">
        <f t="shared" si="30"/>
        <v>167318.68560660459</v>
      </c>
      <c r="G69" s="71">
        <f t="shared" si="30"/>
        <v>195951.17036518489</v>
      </c>
      <c r="H69" s="71">
        <f t="shared" si="30"/>
        <v>242800.59361732047</v>
      </c>
      <c r="I69" s="71">
        <f t="shared" si="30"/>
        <v>295081.11054356385</v>
      </c>
      <c r="J69" s="71">
        <f t="shared" si="30"/>
        <v>352493.00844532601</v>
      </c>
      <c r="K69" s="71">
        <f t="shared" si="30"/>
        <v>419251.41802870855</v>
      </c>
      <c r="L69" s="71">
        <f t="shared" si="30"/>
        <v>492363.42549497355</v>
      </c>
      <c r="M69" s="71">
        <f t="shared" si="30"/>
        <v>573015.83576098981</v>
      </c>
      <c r="N69" s="71">
        <f t="shared" si="30"/>
        <v>661830.13447847019</v>
      </c>
      <c r="O69" s="71">
        <f t="shared" si="30"/>
        <v>759644.7451035413</v>
      </c>
      <c r="P69" s="71">
        <f t="shared" si="30"/>
        <v>867330.1045597475</v>
      </c>
      <c r="Q69" s="71">
        <f t="shared" si="30"/>
        <v>985965.02995856781</v>
      </c>
    </row>
    <row r="70" spans="1:17" ht="16" outlineLevel="1" thickTop="1" x14ac:dyDescent="0.35">
      <c r="C70" s="1"/>
      <c r="D70" s="1"/>
      <c r="E70" s="1"/>
      <c r="F70" s="1"/>
      <c r="G70" s="1"/>
      <c r="H70" s="58"/>
      <c r="I70" s="58"/>
      <c r="J70" s="58"/>
      <c r="K70" s="58"/>
      <c r="L70" s="58"/>
      <c r="M70" s="58"/>
      <c r="N70" s="58"/>
      <c r="O70" s="58"/>
      <c r="P70" s="58"/>
      <c r="Q70" s="58"/>
    </row>
    <row r="71" spans="1:17" ht="15.5" outlineLevel="1" x14ac:dyDescent="0.35">
      <c r="A71" t="s">
        <v>47</v>
      </c>
      <c r="C71" s="51">
        <f>C59-C69</f>
        <v>0</v>
      </c>
      <c r="D71" s="51">
        <f>D59-D69</f>
        <v>0</v>
      </c>
      <c r="E71" s="51">
        <f>E59-E69</f>
        <v>0</v>
      </c>
      <c r="F71" s="51">
        <f>F59-F69</f>
        <v>0</v>
      </c>
      <c r="G71" s="51">
        <f>G59-G69</f>
        <v>0</v>
      </c>
      <c r="H71" s="51">
        <f t="shared" ref="H71:Q71" si="31">H59-H69</f>
        <v>0</v>
      </c>
      <c r="I71" s="51">
        <f t="shared" si="31"/>
        <v>0</v>
      </c>
      <c r="J71" s="51">
        <f t="shared" si="31"/>
        <v>0</v>
      </c>
      <c r="K71" s="51">
        <f t="shared" si="31"/>
        <v>0</v>
      </c>
      <c r="L71" s="51">
        <f t="shared" si="31"/>
        <v>0</v>
      </c>
      <c r="M71" s="51">
        <f t="shared" si="31"/>
        <v>0</v>
      </c>
      <c r="N71" s="51">
        <f t="shared" si="31"/>
        <v>0</v>
      </c>
      <c r="O71" s="51">
        <f t="shared" si="31"/>
        <v>0</v>
      </c>
      <c r="P71" s="51">
        <f t="shared" si="31"/>
        <v>0</v>
      </c>
      <c r="Q71" s="51">
        <f t="shared" si="31"/>
        <v>0</v>
      </c>
    </row>
    <row r="72" spans="1:17" ht="15.5" x14ac:dyDescent="0.35">
      <c r="C72" s="1"/>
      <c r="D72" s="1"/>
      <c r="E72" s="1"/>
      <c r="F72" s="1"/>
      <c r="G72" s="1"/>
      <c r="H72" s="58"/>
      <c r="I72" s="58"/>
      <c r="J72" s="58"/>
      <c r="K72" s="58"/>
      <c r="L72" s="58"/>
      <c r="M72" s="58"/>
      <c r="N72" s="58"/>
      <c r="O72" s="58"/>
      <c r="P72" s="58"/>
      <c r="Q72" s="58"/>
    </row>
    <row r="73" spans="1:17" x14ac:dyDescent="0.3">
      <c r="A73" s="34" t="s">
        <v>50</v>
      </c>
      <c r="B73" s="34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</row>
    <row r="74" spans="1:17" ht="15.5" outlineLevel="1" x14ac:dyDescent="0.35">
      <c r="C74" s="1"/>
      <c r="D74" s="1"/>
      <c r="E74" s="1"/>
      <c r="F74" s="1"/>
      <c r="G74" s="1"/>
      <c r="H74" s="58"/>
      <c r="I74" s="58"/>
      <c r="J74" s="58"/>
      <c r="K74" s="58"/>
      <c r="L74" s="58"/>
      <c r="M74" s="58"/>
      <c r="N74" s="58"/>
      <c r="O74" s="58"/>
      <c r="P74" s="58"/>
      <c r="Q74" s="58"/>
    </row>
    <row r="75" spans="1:17" ht="15.5" outlineLevel="1" x14ac:dyDescent="0.35">
      <c r="A75" s="25" t="s">
        <v>51</v>
      </c>
      <c r="B75" s="25"/>
      <c r="C75" s="38"/>
      <c r="D75" s="45"/>
      <c r="E75" s="43"/>
      <c r="F75" s="43"/>
      <c r="G75" s="43"/>
      <c r="H75" s="74"/>
      <c r="I75" s="73"/>
      <c r="J75" s="58"/>
      <c r="K75" s="58"/>
      <c r="L75" s="58"/>
      <c r="M75" s="58"/>
      <c r="N75" s="58"/>
      <c r="O75" s="58"/>
      <c r="P75" s="58"/>
      <c r="Q75" s="58"/>
    </row>
    <row r="76" spans="1:17" ht="15.5" outlineLevel="1" x14ac:dyDescent="0.35">
      <c r="A76" t="s">
        <v>52</v>
      </c>
      <c r="C76" s="87">
        <v>2473.8292000000001</v>
      </c>
      <c r="D76" s="87">
        <v>11790.783497877968</v>
      </c>
      <c r="E76" s="87">
        <v>21075.193885131324</v>
      </c>
      <c r="F76" s="87">
        <v>26713.479023595311</v>
      </c>
      <c r="G76" s="87">
        <v>28226.884758580287</v>
      </c>
      <c r="H76" s="58">
        <f t="shared" ref="H76:Q76" si="32">H50</f>
        <v>46582.142514430656</v>
      </c>
      <c r="I76" s="58">
        <f t="shared" si="32"/>
        <v>52009.855931948303</v>
      </c>
      <c r="J76" s="58">
        <f t="shared" si="32"/>
        <v>57156.827863042141</v>
      </c>
      <c r="K76" s="58">
        <f t="shared" si="32"/>
        <v>66435.208994846544</v>
      </c>
      <c r="L76" s="58">
        <f t="shared" si="32"/>
        <v>72521.371636641183</v>
      </c>
      <c r="M76" s="58">
        <f t="shared" si="32"/>
        <v>79892.390836148028</v>
      </c>
      <c r="N76" s="58">
        <f t="shared" si="32"/>
        <v>88000.511955605543</v>
      </c>
      <c r="O76" s="58">
        <f t="shared" si="32"/>
        <v>96919.445187008823</v>
      </c>
      <c r="P76" s="58">
        <f t="shared" si="32"/>
        <v>106730.27174155244</v>
      </c>
      <c r="Q76" s="58">
        <f t="shared" si="32"/>
        <v>117522.18095155041</v>
      </c>
    </row>
    <row r="77" spans="1:17" ht="15.5" outlineLevel="1" x14ac:dyDescent="0.35">
      <c r="A77" t="s">
        <v>53</v>
      </c>
      <c r="C77" s="87">
        <v>19500</v>
      </c>
      <c r="D77" s="87">
        <v>18150</v>
      </c>
      <c r="E77" s="87">
        <v>17205</v>
      </c>
      <c r="F77" s="87">
        <v>16543.5</v>
      </c>
      <c r="G77" s="87">
        <v>16080.449999999999</v>
      </c>
      <c r="H77" s="58">
        <f t="shared" ref="H77:Q77" si="33">H46</f>
        <v>15029.402627288579</v>
      </c>
      <c r="I77" s="58">
        <f t="shared" si="33"/>
        <v>15318.044550866047</v>
      </c>
      <c r="J77" s="58">
        <f t="shared" si="33"/>
        <v>15869.596755425171</v>
      </c>
      <c r="K77" s="58">
        <f t="shared" si="33"/>
        <v>16668.333173328356</v>
      </c>
      <c r="L77" s="58">
        <f t="shared" si="33"/>
        <v>17719.56433329478</v>
      </c>
      <c r="M77" s="58">
        <f t="shared" si="33"/>
        <v>19045.224873561838</v>
      </c>
      <c r="N77" s="58">
        <f t="shared" si="33"/>
        <v>20682.219403927233</v>
      </c>
      <c r="O77" s="58">
        <f t="shared" si="33"/>
        <v>22590.074177863298</v>
      </c>
      <c r="P77" s="58">
        <f t="shared" si="33"/>
        <v>24752.950976754255</v>
      </c>
      <c r="Q77" s="58">
        <f t="shared" si="33"/>
        <v>27170.621461527986</v>
      </c>
    </row>
    <row r="78" spans="1:17" ht="15.5" outlineLevel="1" x14ac:dyDescent="0.35">
      <c r="A78" t="s">
        <v>54</v>
      </c>
      <c r="C78" s="87">
        <v>9002.6500000000015</v>
      </c>
      <c r="D78" s="87">
        <v>1702.0499999999993</v>
      </c>
      <c r="E78" s="87">
        <v>774.84999999999854</v>
      </c>
      <c r="F78" s="87">
        <v>902.90000000000146</v>
      </c>
      <c r="G78" s="87">
        <v>827.14999999999782</v>
      </c>
      <c r="H78" s="58">
        <f>H102</f>
        <v>622.58360655737852</v>
      </c>
      <c r="I78" s="58">
        <f t="shared" ref="I78:Q78" si="34">I102</f>
        <v>767.21992544262685</v>
      </c>
      <c r="J78" s="58">
        <f t="shared" si="34"/>
        <v>842.40236471999742</v>
      </c>
      <c r="K78" s="58">
        <f t="shared" si="34"/>
        <v>1041.4241186159998</v>
      </c>
      <c r="L78" s="58">
        <f t="shared" si="34"/>
        <v>1434.401300514899</v>
      </c>
      <c r="M78" s="58">
        <f t="shared" si="34"/>
        <v>1845.7614725369676</v>
      </c>
      <c r="N78" s="58">
        <f t="shared" si="34"/>
        <v>1976.3392788387901</v>
      </c>
      <c r="O78" s="58">
        <f t="shared" si="34"/>
        <v>2173.9732067226687</v>
      </c>
      <c r="P78" s="58">
        <f t="shared" si="34"/>
        <v>2319.4987355879894</v>
      </c>
      <c r="Q78" s="58">
        <f t="shared" si="34"/>
        <v>2702.3793719413807</v>
      </c>
    </row>
    <row r="79" spans="1:17" ht="15.5" outlineLevel="1" x14ac:dyDescent="0.35">
      <c r="A79" s="35" t="s">
        <v>55</v>
      </c>
      <c r="B79" s="35"/>
      <c r="C79" s="36">
        <f t="shared" ref="C79:H79" si="35">C76+C77-C78</f>
        <v>12971.179199999999</v>
      </c>
      <c r="D79" s="36">
        <f t="shared" si="35"/>
        <v>28238.733497877969</v>
      </c>
      <c r="E79" s="36">
        <f t="shared" si="35"/>
        <v>37505.343885131326</v>
      </c>
      <c r="F79" s="36">
        <f t="shared" si="35"/>
        <v>42354.07902359531</v>
      </c>
      <c r="G79" s="36">
        <f t="shared" si="35"/>
        <v>43480.18475858029</v>
      </c>
      <c r="H79" s="36">
        <f t="shared" si="35"/>
        <v>60988.961535161856</v>
      </c>
      <c r="I79" s="36">
        <f t="shared" ref="I79:Q79" si="36">I76+I77-I78</f>
        <v>66560.680557371728</v>
      </c>
      <c r="J79" s="36">
        <f t="shared" si="36"/>
        <v>72184.022253747316</v>
      </c>
      <c r="K79" s="36">
        <f t="shared" si="36"/>
        <v>82062.118049558892</v>
      </c>
      <c r="L79" s="36">
        <f t="shared" si="36"/>
        <v>88806.53466942106</v>
      </c>
      <c r="M79" s="36">
        <f t="shared" si="36"/>
        <v>97091.854237172898</v>
      </c>
      <c r="N79" s="36">
        <f t="shared" si="36"/>
        <v>106706.39208069399</v>
      </c>
      <c r="O79" s="36">
        <f t="shared" si="36"/>
        <v>117335.54615814945</v>
      </c>
      <c r="P79" s="36">
        <f t="shared" si="36"/>
        <v>129163.72398271871</v>
      </c>
      <c r="Q79" s="36">
        <f t="shared" si="36"/>
        <v>141990.42304113702</v>
      </c>
    </row>
    <row r="80" spans="1:17" ht="15.5" outlineLevel="1" x14ac:dyDescent="0.35">
      <c r="A80" s="46"/>
      <c r="B80" s="46"/>
      <c r="C80" s="47"/>
      <c r="D80" s="47"/>
      <c r="E80" s="47"/>
      <c r="F80" s="47"/>
      <c r="G80" s="47"/>
      <c r="H80" s="58"/>
      <c r="I80" s="58"/>
      <c r="J80" s="58"/>
      <c r="K80" s="58"/>
      <c r="L80" s="58"/>
      <c r="M80" s="58"/>
      <c r="N80" s="58"/>
      <c r="O80" s="58"/>
      <c r="P80" s="58"/>
      <c r="Q80" s="58"/>
    </row>
    <row r="81" spans="1:17" ht="15.5" outlineLevel="1" x14ac:dyDescent="0.35">
      <c r="A81" s="25" t="s">
        <v>56</v>
      </c>
      <c r="B81" s="25"/>
      <c r="C81" s="42"/>
      <c r="D81" s="42"/>
      <c r="E81" s="42"/>
      <c r="F81" s="42"/>
      <c r="G81" s="42"/>
      <c r="H81" s="58"/>
      <c r="I81" s="58"/>
      <c r="J81" s="58"/>
      <c r="K81" s="58"/>
      <c r="L81" s="58"/>
      <c r="M81" s="58"/>
      <c r="N81" s="58"/>
      <c r="O81" s="58"/>
      <c r="P81" s="58"/>
      <c r="Q81" s="58"/>
    </row>
    <row r="82" spans="1:17" ht="15.5" outlineLevel="1" x14ac:dyDescent="0.35">
      <c r="A82" t="s">
        <v>57</v>
      </c>
      <c r="C82" s="86">
        <v>-15000</v>
      </c>
      <c r="D82" s="86">
        <v>-15000</v>
      </c>
      <c r="E82" s="86">
        <v>-15000</v>
      </c>
      <c r="F82" s="86">
        <v>-15000</v>
      </c>
      <c r="G82" s="86">
        <v>-15000</v>
      </c>
      <c r="H82" s="58">
        <f>-H39*H31</f>
        <v>-15750</v>
      </c>
      <c r="I82" s="58">
        <f t="shared" ref="I82:Q82" si="37">-I39*I31</f>
        <v>-16695</v>
      </c>
      <c r="J82" s="58">
        <f t="shared" si="37"/>
        <v>-17863.650000000001</v>
      </c>
      <c r="K82" s="58">
        <f t="shared" si="37"/>
        <v>-19292.742000000002</v>
      </c>
      <c r="L82" s="58">
        <f t="shared" si="37"/>
        <v>-21029.088780000002</v>
      </c>
      <c r="M82" s="58">
        <f t="shared" si="37"/>
        <v>-23131.997658000008</v>
      </c>
      <c r="N82" s="58">
        <f t="shared" si="37"/>
        <v>-25445.197423800011</v>
      </c>
      <c r="O82" s="58">
        <f t="shared" si="37"/>
        <v>-27989.717166180013</v>
      </c>
      <c r="P82" s="58">
        <f t="shared" si="37"/>
        <v>-30788.688882798018</v>
      </c>
      <c r="Q82" s="58">
        <f t="shared" si="37"/>
        <v>-33867.557771077823</v>
      </c>
    </row>
    <row r="83" spans="1:17" ht="15.5" outlineLevel="1" x14ac:dyDescent="0.35">
      <c r="A83" s="35" t="s">
        <v>58</v>
      </c>
      <c r="B83" s="35"/>
      <c r="C83" s="36">
        <f>SUM(C82)</f>
        <v>-15000</v>
      </c>
      <c r="D83" s="36">
        <f t="shared" ref="D83:Q83" si="38">SUM(D82)</f>
        <v>-15000</v>
      </c>
      <c r="E83" s="36">
        <f t="shared" si="38"/>
        <v>-15000</v>
      </c>
      <c r="F83" s="36">
        <f t="shared" si="38"/>
        <v>-15000</v>
      </c>
      <c r="G83" s="36">
        <f t="shared" si="38"/>
        <v>-15000</v>
      </c>
      <c r="H83" s="36">
        <f t="shared" si="38"/>
        <v>-15750</v>
      </c>
      <c r="I83" s="36">
        <f t="shared" si="38"/>
        <v>-16695</v>
      </c>
      <c r="J83" s="36">
        <f t="shared" si="38"/>
        <v>-17863.650000000001</v>
      </c>
      <c r="K83" s="36">
        <f t="shared" si="38"/>
        <v>-19292.742000000002</v>
      </c>
      <c r="L83" s="36">
        <f t="shared" si="38"/>
        <v>-21029.088780000002</v>
      </c>
      <c r="M83" s="36">
        <f t="shared" si="38"/>
        <v>-23131.997658000008</v>
      </c>
      <c r="N83" s="36">
        <f t="shared" si="38"/>
        <v>-25445.197423800011</v>
      </c>
      <c r="O83" s="36">
        <f t="shared" si="38"/>
        <v>-27989.717166180013</v>
      </c>
      <c r="P83" s="36">
        <f t="shared" si="38"/>
        <v>-30788.688882798018</v>
      </c>
      <c r="Q83" s="36">
        <f t="shared" si="38"/>
        <v>-33867.557771077823</v>
      </c>
    </row>
    <row r="84" spans="1:17" ht="15.5" outlineLevel="1" x14ac:dyDescent="0.35">
      <c r="A84" s="46"/>
      <c r="B84" s="46"/>
      <c r="C84" s="47"/>
      <c r="D84" s="47"/>
      <c r="E84" s="47"/>
      <c r="F84" s="47"/>
      <c r="G84" s="47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spans="1:17" ht="15.5" outlineLevel="1" x14ac:dyDescent="0.35">
      <c r="A85" s="25" t="s">
        <v>59</v>
      </c>
      <c r="B85" s="25"/>
      <c r="C85" s="42"/>
      <c r="D85" s="42"/>
      <c r="E85" s="42"/>
      <c r="F85" s="42"/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spans="1:17" ht="15.5" outlineLevel="1" x14ac:dyDescent="0.35">
      <c r="A86" t="s">
        <v>60</v>
      </c>
      <c r="C86" s="86">
        <v>0</v>
      </c>
      <c r="D86" s="86">
        <v>0</v>
      </c>
      <c r="E86" s="86">
        <v>-20000</v>
      </c>
      <c r="F86" s="86">
        <v>0</v>
      </c>
      <c r="G86" s="86">
        <v>0</v>
      </c>
      <c r="H86" s="58">
        <f t="shared" ref="H86:Q86" si="39">H34</f>
        <v>0</v>
      </c>
      <c r="I86" s="58">
        <f t="shared" si="39"/>
        <v>0</v>
      </c>
      <c r="J86" s="58">
        <f t="shared" si="39"/>
        <v>0</v>
      </c>
      <c r="K86" s="58">
        <f t="shared" si="39"/>
        <v>0</v>
      </c>
      <c r="L86" s="58">
        <f t="shared" si="39"/>
        <v>0</v>
      </c>
      <c r="M86" s="58">
        <f t="shared" si="39"/>
        <v>0</v>
      </c>
      <c r="N86" s="58">
        <f t="shared" si="39"/>
        <v>0</v>
      </c>
      <c r="O86" s="58">
        <f t="shared" si="39"/>
        <v>0</v>
      </c>
      <c r="P86" s="58">
        <f t="shared" si="39"/>
        <v>0</v>
      </c>
      <c r="Q86" s="58">
        <f t="shared" si="39"/>
        <v>0</v>
      </c>
    </row>
    <row r="87" spans="1:17" ht="15.5" outlineLevel="1" x14ac:dyDescent="0.35">
      <c r="A87" t="s">
        <v>61</v>
      </c>
      <c r="C87" s="86">
        <v>70000</v>
      </c>
      <c r="D87" s="86">
        <v>0</v>
      </c>
      <c r="E87" s="86">
        <v>0</v>
      </c>
      <c r="F87" s="86">
        <v>0</v>
      </c>
      <c r="G87" s="86">
        <v>0</v>
      </c>
      <c r="H87" s="58">
        <f t="shared" ref="H87:Q87" si="40">H35</f>
        <v>0</v>
      </c>
      <c r="I87" s="58">
        <f t="shared" si="40"/>
        <v>0</v>
      </c>
      <c r="J87" s="58">
        <f t="shared" si="40"/>
        <v>0</v>
      </c>
      <c r="K87" s="58">
        <f t="shared" si="40"/>
        <v>0</v>
      </c>
      <c r="L87" s="58">
        <f t="shared" si="40"/>
        <v>0</v>
      </c>
      <c r="M87" s="58">
        <f t="shared" si="40"/>
        <v>0</v>
      </c>
      <c r="N87" s="58">
        <f t="shared" si="40"/>
        <v>0</v>
      </c>
      <c r="O87" s="58">
        <f t="shared" si="40"/>
        <v>0</v>
      </c>
      <c r="P87" s="58">
        <f t="shared" si="40"/>
        <v>0</v>
      </c>
      <c r="Q87" s="58">
        <f t="shared" si="40"/>
        <v>0</v>
      </c>
    </row>
    <row r="88" spans="1:17" ht="15.5" outlineLevel="1" x14ac:dyDescent="0.35">
      <c r="A88" s="35" t="s">
        <v>62</v>
      </c>
      <c r="B88" s="35"/>
      <c r="C88" s="36">
        <f>SUM(C86:C87)</f>
        <v>70000</v>
      </c>
      <c r="D88" s="36">
        <f t="shared" ref="D88:Q88" si="41">SUM(D86:D87)</f>
        <v>0</v>
      </c>
      <c r="E88" s="36">
        <f t="shared" si="41"/>
        <v>-20000</v>
      </c>
      <c r="F88" s="36">
        <f t="shared" si="41"/>
        <v>0</v>
      </c>
      <c r="G88" s="36">
        <f t="shared" si="41"/>
        <v>0</v>
      </c>
      <c r="H88" s="36">
        <f t="shared" si="41"/>
        <v>0</v>
      </c>
      <c r="I88" s="36">
        <f t="shared" si="41"/>
        <v>0</v>
      </c>
      <c r="J88" s="36">
        <f t="shared" si="41"/>
        <v>0</v>
      </c>
      <c r="K88" s="36">
        <f t="shared" si="41"/>
        <v>0</v>
      </c>
      <c r="L88" s="36">
        <f t="shared" si="41"/>
        <v>0</v>
      </c>
      <c r="M88" s="36">
        <f t="shared" si="41"/>
        <v>0</v>
      </c>
      <c r="N88" s="36">
        <f t="shared" si="41"/>
        <v>0</v>
      </c>
      <c r="O88" s="36">
        <f t="shared" si="41"/>
        <v>0</v>
      </c>
      <c r="P88" s="36">
        <f t="shared" si="41"/>
        <v>0</v>
      </c>
      <c r="Q88" s="36">
        <f t="shared" si="41"/>
        <v>0</v>
      </c>
    </row>
    <row r="89" spans="1:17" ht="15.5" outlineLevel="1" x14ac:dyDescent="0.35">
      <c r="A89" s="46"/>
      <c r="B89" s="46"/>
      <c r="C89" s="47"/>
      <c r="D89" s="47"/>
      <c r="E89" s="47"/>
      <c r="F89" s="47"/>
      <c r="G89" s="47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spans="1:17" ht="15.5" outlineLevel="1" x14ac:dyDescent="0.35">
      <c r="A90" t="s">
        <v>63</v>
      </c>
      <c r="C90" s="48">
        <f>C79+C83+C88</f>
        <v>67971.179199999999</v>
      </c>
      <c r="D90" s="48">
        <f t="shared" ref="D90:Q90" si="42">D79+D83+D88</f>
        <v>13238.733497877969</v>
      </c>
      <c r="E90" s="48">
        <f t="shared" si="42"/>
        <v>2505.3438851313258</v>
      </c>
      <c r="F90" s="48">
        <f t="shared" si="42"/>
        <v>27354.07902359531</v>
      </c>
      <c r="G90" s="48">
        <f t="shared" si="42"/>
        <v>28480.18475858029</v>
      </c>
      <c r="H90" s="48">
        <f t="shared" si="42"/>
        <v>45238.961535161856</v>
      </c>
      <c r="I90" s="48">
        <f t="shared" si="42"/>
        <v>49865.680557371728</v>
      </c>
      <c r="J90" s="48">
        <f t="shared" si="42"/>
        <v>54320.372253747315</v>
      </c>
      <c r="K90" s="48">
        <f t="shared" si="42"/>
        <v>62769.376049558894</v>
      </c>
      <c r="L90" s="48">
        <f t="shared" si="42"/>
        <v>67777.445889421055</v>
      </c>
      <c r="M90" s="48">
        <f t="shared" si="42"/>
        <v>73959.856579172891</v>
      </c>
      <c r="N90" s="48">
        <f t="shared" si="42"/>
        <v>81261.194656893975</v>
      </c>
      <c r="O90" s="48">
        <f t="shared" si="42"/>
        <v>89345.828991969436</v>
      </c>
      <c r="P90" s="48">
        <f t="shared" si="42"/>
        <v>98375.0350999207</v>
      </c>
      <c r="Q90" s="48">
        <f t="shared" si="42"/>
        <v>108122.86527005921</v>
      </c>
    </row>
    <row r="91" spans="1:17" ht="15.5" outlineLevel="1" x14ac:dyDescent="0.35">
      <c r="A91" t="s">
        <v>64</v>
      </c>
      <c r="C91" s="86">
        <v>0</v>
      </c>
      <c r="D91" s="48">
        <f>C92</f>
        <v>67971.179199999999</v>
      </c>
      <c r="E91" s="48">
        <f>D92</f>
        <v>81209.912697877968</v>
      </c>
      <c r="F91" s="48">
        <f>E92</f>
        <v>83715.256583009294</v>
      </c>
      <c r="G91" s="48">
        <f>F92</f>
        <v>111069.33560660461</v>
      </c>
      <c r="H91" s="58">
        <f>G92</f>
        <v>139549.5203651849</v>
      </c>
      <c r="I91" s="58">
        <f t="shared" ref="I91:Q91" si="43">H92</f>
        <v>184788.48190034676</v>
      </c>
      <c r="J91" s="58">
        <f t="shared" si="43"/>
        <v>234654.16245771848</v>
      </c>
      <c r="K91" s="58">
        <f t="shared" si="43"/>
        <v>288974.53471146582</v>
      </c>
      <c r="L91" s="58">
        <f t="shared" si="43"/>
        <v>351743.91076102469</v>
      </c>
      <c r="M91" s="58">
        <f t="shared" si="43"/>
        <v>419521.35665044573</v>
      </c>
      <c r="N91" s="58">
        <f t="shared" si="43"/>
        <v>493481.21322961862</v>
      </c>
      <c r="O91" s="58">
        <f t="shared" si="43"/>
        <v>574742.40788651258</v>
      </c>
      <c r="P91" s="58">
        <f t="shared" si="43"/>
        <v>664088.23687848204</v>
      </c>
      <c r="Q91" s="58">
        <f t="shared" si="43"/>
        <v>762463.27197840274</v>
      </c>
    </row>
    <row r="92" spans="1:17" ht="15.5" outlineLevel="1" x14ac:dyDescent="0.35">
      <c r="A92" s="35" t="s">
        <v>65</v>
      </c>
      <c r="B92" s="35"/>
      <c r="C92" s="36">
        <f>SUM(C90:C91)</f>
        <v>67971.179199999999</v>
      </c>
      <c r="D92" s="36">
        <f t="shared" ref="D92:Q92" si="44">SUM(D90:D91)</f>
        <v>81209.912697877968</v>
      </c>
      <c r="E92" s="36">
        <f t="shared" si="44"/>
        <v>83715.256583009294</v>
      </c>
      <c r="F92" s="36">
        <f t="shared" si="44"/>
        <v>111069.33560660461</v>
      </c>
      <c r="G92" s="36">
        <f t="shared" si="44"/>
        <v>139549.5203651849</v>
      </c>
      <c r="H92" s="36">
        <f>SUM(H90:H91)</f>
        <v>184788.48190034676</v>
      </c>
      <c r="I92" s="36">
        <f t="shared" si="44"/>
        <v>234654.16245771848</v>
      </c>
      <c r="J92" s="36">
        <f t="shared" si="44"/>
        <v>288974.53471146582</v>
      </c>
      <c r="K92" s="36">
        <f t="shared" si="44"/>
        <v>351743.91076102469</v>
      </c>
      <c r="L92" s="36">
        <f t="shared" si="44"/>
        <v>419521.35665044573</v>
      </c>
      <c r="M92" s="36">
        <f t="shared" si="44"/>
        <v>493481.21322961862</v>
      </c>
      <c r="N92" s="36">
        <f t="shared" si="44"/>
        <v>574742.40788651258</v>
      </c>
      <c r="O92" s="36">
        <f t="shared" si="44"/>
        <v>664088.23687848204</v>
      </c>
      <c r="P92" s="36">
        <f t="shared" si="44"/>
        <v>762463.27197840274</v>
      </c>
      <c r="Q92" s="36">
        <f t="shared" si="44"/>
        <v>870586.13724846195</v>
      </c>
    </row>
    <row r="93" spans="1:17" ht="15.5" outlineLevel="1" x14ac:dyDescent="0.35">
      <c r="C93" s="1"/>
      <c r="D93" s="1"/>
      <c r="E93" s="1"/>
      <c r="F93" s="1"/>
      <c r="G93" s="1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spans="1:17" ht="15.5" x14ac:dyDescent="0.35">
      <c r="C94" s="1"/>
      <c r="D94" s="1"/>
      <c r="E94" s="1"/>
      <c r="F94" s="1"/>
      <c r="G94" s="1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spans="1:17" x14ac:dyDescent="0.3">
      <c r="A95" s="34" t="s">
        <v>66</v>
      </c>
      <c r="B95" s="34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 ht="15.5" outlineLevel="1" x14ac:dyDescent="0.35">
      <c r="C96" s="1"/>
      <c r="D96" s="1"/>
      <c r="E96" s="1"/>
      <c r="F96" s="1"/>
      <c r="G96" s="1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spans="1:17" ht="15.5" outlineLevel="1" x14ac:dyDescent="0.35">
      <c r="A97" s="25" t="s">
        <v>67</v>
      </c>
      <c r="B97" s="25"/>
      <c r="C97" s="1"/>
      <c r="D97" s="1"/>
      <c r="E97" s="1"/>
      <c r="F97" s="1"/>
      <c r="G97" s="1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spans="1:17" ht="15.5" outlineLevel="1" x14ac:dyDescent="0.35">
      <c r="A98" t="s">
        <v>34</v>
      </c>
      <c r="C98" s="52">
        <f t="shared" ref="C98:G99" si="45">C56</f>
        <v>5100.3500000000004</v>
      </c>
      <c r="D98" s="52">
        <f t="shared" si="45"/>
        <v>5904.3</v>
      </c>
      <c r="E98" s="52">
        <f t="shared" si="45"/>
        <v>6567.25</v>
      </c>
      <c r="F98" s="52">
        <f t="shared" si="45"/>
        <v>7117.05</v>
      </c>
      <c r="G98" s="52">
        <f t="shared" si="45"/>
        <v>7538.6</v>
      </c>
      <c r="H98" s="52">
        <f t="shared" ref="H98:Q98" si="46">H56</f>
        <v>7893.9028688524595</v>
      </c>
      <c r="I98" s="52">
        <f t="shared" si="46"/>
        <v>8390.4618000000009</v>
      </c>
      <c r="J98" s="52">
        <f t="shared" si="46"/>
        <v>8977.7941260000007</v>
      </c>
      <c r="K98" s="52">
        <f t="shared" si="46"/>
        <v>9696.017656080001</v>
      </c>
      <c r="L98" s="52">
        <f t="shared" si="46"/>
        <v>10539.783126971119</v>
      </c>
      <c r="M98" s="52">
        <f t="shared" si="46"/>
        <v>11625.525169639923</v>
      </c>
      <c r="N98" s="52">
        <f t="shared" si="46"/>
        <v>12788.077686603918</v>
      </c>
      <c r="O98" s="52">
        <f t="shared" si="46"/>
        <v>14066.885455264312</v>
      </c>
      <c r="P98" s="52">
        <f t="shared" si="46"/>
        <v>15431.29647619842</v>
      </c>
      <c r="Q98" s="52">
        <f t="shared" si="46"/>
        <v>17020.93140086982</v>
      </c>
    </row>
    <row r="99" spans="1:17" ht="15.5" outlineLevel="1" x14ac:dyDescent="0.35">
      <c r="A99" t="s">
        <v>35</v>
      </c>
      <c r="C99" s="52">
        <f t="shared" si="45"/>
        <v>7804.6</v>
      </c>
      <c r="D99" s="52">
        <f t="shared" si="45"/>
        <v>9600.8000000000011</v>
      </c>
      <c r="E99" s="52">
        <f t="shared" si="45"/>
        <v>9824.6</v>
      </c>
      <c r="F99" s="52">
        <f t="shared" si="45"/>
        <v>10530.800000000001</v>
      </c>
      <c r="G99" s="52">
        <f t="shared" si="45"/>
        <v>11342</v>
      </c>
      <c r="H99" s="52">
        <f t="shared" ref="H99:Q99" si="47">H57</f>
        <v>11876.561475409835</v>
      </c>
      <c r="I99" s="52">
        <f t="shared" si="47"/>
        <v>12417.883464</v>
      </c>
      <c r="J99" s="52">
        <f t="shared" si="47"/>
        <v>12928.023541439999</v>
      </c>
      <c r="K99" s="52">
        <f t="shared" si="47"/>
        <v>13574.424718512002</v>
      </c>
      <c r="L99" s="52">
        <f t="shared" si="47"/>
        <v>14755.696377759561</v>
      </c>
      <c r="M99" s="52">
        <f t="shared" si="47"/>
        <v>16275.735237495892</v>
      </c>
      <c r="N99" s="52">
        <f t="shared" si="47"/>
        <v>17903.308761245484</v>
      </c>
      <c r="O99" s="52">
        <f t="shared" si="47"/>
        <v>19693.639637370034</v>
      </c>
      <c r="P99" s="52">
        <f t="shared" si="47"/>
        <v>21603.815066677791</v>
      </c>
      <c r="Q99" s="52">
        <f t="shared" si="47"/>
        <v>23829.303961217742</v>
      </c>
    </row>
    <row r="100" spans="1:17" ht="15.5" outlineLevel="1" x14ac:dyDescent="0.35">
      <c r="A100" t="s">
        <v>40</v>
      </c>
      <c r="C100" s="52">
        <f>C62</f>
        <v>3902.3</v>
      </c>
      <c r="D100" s="52">
        <f>D62</f>
        <v>4800.4000000000005</v>
      </c>
      <c r="E100" s="52">
        <f>E62</f>
        <v>4912.3</v>
      </c>
      <c r="F100" s="52">
        <f>F62</f>
        <v>5265.4000000000005</v>
      </c>
      <c r="G100" s="52">
        <f>G62</f>
        <v>5671</v>
      </c>
      <c r="H100" s="52">
        <f t="shared" ref="H100:Q100" si="48">H62</f>
        <v>5938.2807377049176</v>
      </c>
      <c r="I100" s="52">
        <f t="shared" si="48"/>
        <v>6208.9417320000002</v>
      </c>
      <c r="J100" s="52">
        <f t="shared" si="48"/>
        <v>6464.0117707199997</v>
      </c>
      <c r="K100" s="52">
        <f t="shared" si="48"/>
        <v>6787.212359256001</v>
      </c>
      <c r="L100" s="52">
        <f t="shared" si="48"/>
        <v>7377.8481888797805</v>
      </c>
      <c r="M100" s="52">
        <f t="shared" si="48"/>
        <v>8137.8676187479459</v>
      </c>
      <c r="N100" s="52">
        <f t="shared" si="48"/>
        <v>8951.6543806227419</v>
      </c>
      <c r="O100" s="52">
        <f t="shared" si="48"/>
        <v>9846.8198186850168</v>
      </c>
      <c r="P100" s="52">
        <f t="shared" si="48"/>
        <v>10801.907533338896</v>
      </c>
      <c r="Q100" s="52">
        <f t="shared" si="48"/>
        <v>11914.651980608871</v>
      </c>
    </row>
    <row r="101" spans="1:17" ht="15.5" outlineLevel="1" x14ac:dyDescent="0.35">
      <c r="A101" s="29" t="s">
        <v>68</v>
      </c>
      <c r="B101" s="29"/>
      <c r="C101" s="53">
        <f t="shared" ref="C101:Q101" si="49">C98+C99-C100</f>
        <v>9002.6500000000015</v>
      </c>
      <c r="D101" s="53">
        <f t="shared" si="49"/>
        <v>10704.7</v>
      </c>
      <c r="E101" s="53">
        <f t="shared" si="49"/>
        <v>11479.55</v>
      </c>
      <c r="F101" s="53">
        <f t="shared" si="49"/>
        <v>12382.45</v>
      </c>
      <c r="G101" s="53">
        <f t="shared" si="49"/>
        <v>13209.599999999999</v>
      </c>
      <c r="H101" s="53">
        <f t="shared" si="49"/>
        <v>13832.183606557377</v>
      </c>
      <c r="I101" s="53">
        <f t="shared" si="49"/>
        <v>14599.403532000004</v>
      </c>
      <c r="J101" s="53">
        <f t="shared" si="49"/>
        <v>15441.805896720001</v>
      </c>
      <c r="K101" s="53">
        <f t="shared" si="49"/>
        <v>16483.230015336001</v>
      </c>
      <c r="L101" s="53">
        <f t="shared" si="49"/>
        <v>17917.6313158509</v>
      </c>
      <c r="M101" s="53">
        <f t="shared" si="49"/>
        <v>19763.392788387868</v>
      </c>
      <c r="N101" s="53">
        <f t="shared" si="49"/>
        <v>21739.732067226658</v>
      </c>
      <c r="O101" s="53">
        <f t="shared" si="49"/>
        <v>23913.705273949327</v>
      </c>
      <c r="P101" s="53">
        <f t="shared" si="49"/>
        <v>26233.204009537316</v>
      </c>
      <c r="Q101" s="53">
        <f t="shared" si="49"/>
        <v>28935.583381478697</v>
      </c>
    </row>
    <row r="102" spans="1:17" ht="15.5" outlineLevel="1" x14ac:dyDescent="0.35">
      <c r="A102" t="s">
        <v>69</v>
      </c>
      <c r="C102" s="52">
        <f t="shared" ref="C102:Q102" si="50">C101-B101</f>
        <v>9002.6500000000015</v>
      </c>
      <c r="D102" s="52">
        <f t="shared" si="50"/>
        <v>1702.0499999999993</v>
      </c>
      <c r="E102" s="52">
        <f t="shared" si="50"/>
        <v>774.84999999999854</v>
      </c>
      <c r="F102" s="52">
        <f t="shared" si="50"/>
        <v>902.90000000000146</v>
      </c>
      <c r="G102" s="52">
        <f t="shared" si="50"/>
        <v>827.14999999999782</v>
      </c>
      <c r="H102" s="52">
        <f t="shared" si="50"/>
        <v>622.58360655737852</v>
      </c>
      <c r="I102" s="52">
        <f t="shared" si="50"/>
        <v>767.21992544262685</v>
      </c>
      <c r="J102" s="52">
        <f t="shared" si="50"/>
        <v>842.40236471999742</v>
      </c>
      <c r="K102" s="52">
        <f t="shared" si="50"/>
        <v>1041.4241186159998</v>
      </c>
      <c r="L102" s="52">
        <f t="shared" si="50"/>
        <v>1434.401300514899</v>
      </c>
      <c r="M102" s="52">
        <f t="shared" si="50"/>
        <v>1845.7614725369676</v>
      </c>
      <c r="N102" s="52">
        <f t="shared" si="50"/>
        <v>1976.3392788387901</v>
      </c>
      <c r="O102" s="52">
        <f t="shared" si="50"/>
        <v>2173.9732067226687</v>
      </c>
      <c r="P102" s="52">
        <f t="shared" si="50"/>
        <v>2319.4987355879894</v>
      </c>
      <c r="Q102" s="52">
        <f t="shared" si="50"/>
        <v>2702.3793719413807</v>
      </c>
    </row>
    <row r="103" spans="1:17" ht="15.5" outlineLevel="1" x14ac:dyDescent="0.35">
      <c r="A103" s="38"/>
      <c r="B103" s="38"/>
      <c r="C103" s="1"/>
      <c r="D103" s="1"/>
      <c r="E103" s="1"/>
      <c r="F103" s="1"/>
      <c r="G103" s="1"/>
      <c r="H103" s="58"/>
      <c r="I103" s="58"/>
      <c r="J103" s="58"/>
      <c r="K103" s="58"/>
      <c r="L103" s="58"/>
      <c r="M103" s="58"/>
      <c r="N103" s="58"/>
      <c r="O103" s="58"/>
      <c r="P103" s="58"/>
      <c r="Q103" s="58"/>
    </row>
    <row r="104" spans="1:17" ht="15.5" outlineLevel="1" x14ac:dyDescent="0.35">
      <c r="A104" s="25" t="s">
        <v>70</v>
      </c>
      <c r="B104" s="25"/>
      <c r="C104" s="1"/>
      <c r="D104" s="1"/>
      <c r="E104" s="1"/>
      <c r="F104" s="1"/>
      <c r="G104" s="1"/>
      <c r="H104" s="58"/>
      <c r="I104" s="58"/>
      <c r="J104" s="58"/>
      <c r="K104" s="58"/>
      <c r="L104" s="58"/>
      <c r="M104" s="58"/>
      <c r="N104" s="58"/>
      <c r="O104" s="58"/>
      <c r="P104" s="58"/>
      <c r="Q104" s="58"/>
    </row>
    <row r="105" spans="1:17" ht="15.5" outlineLevel="1" x14ac:dyDescent="0.35">
      <c r="A105" t="s">
        <v>71</v>
      </c>
      <c r="C105" s="87">
        <v>50000.000000000007</v>
      </c>
      <c r="D105" s="52">
        <f>C108</f>
        <v>45500.000000000007</v>
      </c>
      <c r="E105" s="52">
        <f>D108</f>
        <v>42350.000000000007</v>
      </c>
      <c r="F105" s="52">
        <f>E108</f>
        <v>40145.000000000007</v>
      </c>
      <c r="G105" s="52">
        <f>F108</f>
        <v>38601.500000000007</v>
      </c>
      <c r="H105" s="52">
        <f t="shared" ref="H105:Q105" si="51">G108</f>
        <v>37521.05000000001</v>
      </c>
      <c r="I105" s="52">
        <f t="shared" si="51"/>
        <v>38241.647372711435</v>
      </c>
      <c r="J105" s="52">
        <f t="shared" si="51"/>
        <v>39618.602821845387</v>
      </c>
      <c r="K105" s="52">
        <f t="shared" si="51"/>
        <v>41612.656066420219</v>
      </c>
      <c r="L105" s="52">
        <f t="shared" si="51"/>
        <v>44237.064893091869</v>
      </c>
      <c r="M105" s="52">
        <f t="shared" si="51"/>
        <v>47546.589339797094</v>
      </c>
      <c r="N105" s="52">
        <f t="shared" si="51"/>
        <v>51633.362124235267</v>
      </c>
      <c r="O105" s="52">
        <f t="shared" si="51"/>
        <v>56396.34014410805</v>
      </c>
      <c r="P105" s="52">
        <f t="shared" si="51"/>
        <v>61795.983132424764</v>
      </c>
      <c r="Q105" s="52">
        <f t="shared" si="51"/>
        <v>67831.721038468531</v>
      </c>
    </row>
    <row r="106" spans="1:17" ht="15.5" outlineLevel="1" x14ac:dyDescent="0.35">
      <c r="A106" t="s">
        <v>72</v>
      </c>
      <c r="C106" s="52">
        <f>-C82</f>
        <v>15000</v>
      </c>
      <c r="D106" s="52">
        <f t="shared" ref="D106:Q106" si="52">-D82</f>
        <v>15000</v>
      </c>
      <c r="E106" s="52">
        <f t="shared" si="52"/>
        <v>15000</v>
      </c>
      <c r="F106" s="52">
        <f t="shared" si="52"/>
        <v>15000</v>
      </c>
      <c r="G106" s="52">
        <f t="shared" si="52"/>
        <v>15000</v>
      </c>
      <c r="H106" s="52">
        <f t="shared" si="52"/>
        <v>15750</v>
      </c>
      <c r="I106" s="52">
        <f t="shared" si="52"/>
        <v>16695</v>
      </c>
      <c r="J106" s="52">
        <f t="shared" si="52"/>
        <v>17863.650000000001</v>
      </c>
      <c r="K106" s="52">
        <f t="shared" si="52"/>
        <v>19292.742000000002</v>
      </c>
      <c r="L106" s="52">
        <f t="shared" si="52"/>
        <v>21029.088780000002</v>
      </c>
      <c r="M106" s="52">
        <f t="shared" si="52"/>
        <v>23131.997658000008</v>
      </c>
      <c r="N106" s="52">
        <f t="shared" si="52"/>
        <v>25445.197423800011</v>
      </c>
      <c r="O106" s="52">
        <f t="shared" si="52"/>
        <v>27989.717166180013</v>
      </c>
      <c r="P106" s="52">
        <f t="shared" si="52"/>
        <v>30788.688882798018</v>
      </c>
      <c r="Q106" s="52">
        <f t="shared" si="52"/>
        <v>33867.557771077823</v>
      </c>
    </row>
    <row r="107" spans="1:17" ht="15.5" outlineLevel="1" x14ac:dyDescent="0.35">
      <c r="A107" t="s">
        <v>73</v>
      </c>
      <c r="C107" s="52">
        <f>-C77</f>
        <v>-19500</v>
      </c>
      <c r="D107" s="52">
        <f>-D77</f>
        <v>-18150</v>
      </c>
      <c r="E107" s="52">
        <f>-E77</f>
        <v>-17205</v>
      </c>
      <c r="F107" s="52">
        <f>-F77</f>
        <v>-16543.5</v>
      </c>
      <c r="G107" s="52">
        <f>-G77</f>
        <v>-16080.449999999999</v>
      </c>
      <c r="H107" s="52">
        <f t="shared" ref="H107:Q107" si="53">-H105*H32</f>
        <v>-15029.402627288579</v>
      </c>
      <c r="I107" s="52">
        <f t="shared" si="53"/>
        <v>-15318.044550866047</v>
      </c>
      <c r="J107" s="52">
        <f t="shared" si="53"/>
        <v>-15869.596755425171</v>
      </c>
      <c r="K107" s="52">
        <f t="shared" si="53"/>
        <v>-16668.333173328356</v>
      </c>
      <c r="L107" s="52">
        <f t="shared" si="53"/>
        <v>-17719.56433329478</v>
      </c>
      <c r="M107" s="52">
        <f t="shared" si="53"/>
        <v>-19045.224873561838</v>
      </c>
      <c r="N107" s="52">
        <f t="shared" si="53"/>
        <v>-20682.219403927233</v>
      </c>
      <c r="O107" s="52">
        <f t="shared" si="53"/>
        <v>-22590.074177863298</v>
      </c>
      <c r="P107" s="52">
        <f t="shared" si="53"/>
        <v>-24752.950976754255</v>
      </c>
      <c r="Q107" s="52">
        <f t="shared" si="53"/>
        <v>-27170.621461527986</v>
      </c>
    </row>
    <row r="108" spans="1:17" ht="15.5" outlineLevel="1" x14ac:dyDescent="0.35">
      <c r="A108" s="29" t="s">
        <v>74</v>
      </c>
      <c r="B108" s="29"/>
      <c r="C108" s="53">
        <f t="shared" ref="C108:Q108" si="54">SUM(C105:C107)</f>
        <v>45500.000000000007</v>
      </c>
      <c r="D108" s="53">
        <f t="shared" si="54"/>
        <v>42350.000000000007</v>
      </c>
      <c r="E108" s="53">
        <f t="shared" si="54"/>
        <v>40145.000000000007</v>
      </c>
      <c r="F108" s="53">
        <f t="shared" si="54"/>
        <v>38601.500000000007</v>
      </c>
      <c r="G108" s="53">
        <f t="shared" si="54"/>
        <v>37521.05000000001</v>
      </c>
      <c r="H108" s="53">
        <f t="shared" si="54"/>
        <v>38241.647372711435</v>
      </c>
      <c r="I108" s="53">
        <f t="shared" si="54"/>
        <v>39618.602821845387</v>
      </c>
      <c r="J108" s="53">
        <f t="shared" si="54"/>
        <v>41612.656066420219</v>
      </c>
      <c r="K108" s="53">
        <f t="shared" si="54"/>
        <v>44237.064893091869</v>
      </c>
      <c r="L108" s="53">
        <f t="shared" si="54"/>
        <v>47546.589339797094</v>
      </c>
      <c r="M108" s="53">
        <f t="shared" si="54"/>
        <v>51633.362124235267</v>
      </c>
      <c r="N108" s="53">
        <f t="shared" si="54"/>
        <v>56396.34014410805</v>
      </c>
      <c r="O108" s="53">
        <f t="shared" si="54"/>
        <v>61795.983132424764</v>
      </c>
      <c r="P108" s="53">
        <f t="shared" si="54"/>
        <v>67831.721038468531</v>
      </c>
      <c r="Q108" s="53">
        <f t="shared" si="54"/>
        <v>74528.657348018358</v>
      </c>
    </row>
    <row r="109" spans="1:17" ht="15.5" outlineLevel="1" x14ac:dyDescent="0.35">
      <c r="A109" s="38"/>
      <c r="B109" s="38"/>
      <c r="C109" s="1"/>
      <c r="D109" s="1"/>
      <c r="E109" s="1"/>
      <c r="F109" s="1"/>
      <c r="G109" s="1"/>
      <c r="H109" s="58"/>
      <c r="I109" s="58"/>
      <c r="J109" s="58"/>
      <c r="K109" s="58"/>
      <c r="L109" s="58"/>
      <c r="M109" s="58"/>
      <c r="N109" s="58"/>
      <c r="O109" s="58"/>
      <c r="P109" s="58"/>
      <c r="Q109" s="58"/>
    </row>
    <row r="110" spans="1:17" ht="15.5" outlineLevel="1" x14ac:dyDescent="0.35">
      <c r="A110" s="25" t="s">
        <v>75</v>
      </c>
      <c r="B110" s="25"/>
      <c r="C110" s="1"/>
      <c r="D110" s="1"/>
      <c r="E110" s="1"/>
      <c r="F110" s="1"/>
      <c r="G110" s="1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5.5" outlineLevel="1" x14ac:dyDescent="0.35">
      <c r="A111" t="s">
        <v>76</v>
      </c>
      <c r="C111" s="87">
        <v>50000.000000000007</v>
      </c>
      <c r="D111" s="52">
        <f>C113</f>
        <v>50000.000000000007</v>
      </c>
      <c r="E111" s="52">
        <f t="shared" ref="E111:Q111" si="55">D113</f>
        <v>50000.000000000007</v>
      </c>
      <c r="F111" s="52">
        <f t="shared" si="55"/>
        <v>30000.000000000007</v>
      </c>
      <c r="G111" s="52">
        <f t="shared" si="55"/>
        <v>30000.000000000007</v>
      </c>
      <c r="H111" s="52">
        <f t="shared" si="55"/>
        <v>30000.000000000007</v>
      </c>
      <c r="I111" s="52">
        <f t="shared" si="55"/>
        <v>30000.000000000007</v>
      </c>
      <c r="J111" s="52">
        <f t="shared" si="55"/>
        <v>30000.000000000007</v>
      </c>
      <c r="K111" s="52">
        <f t="shared" si="55"/>
        <v>30000.000000000007</v>
      </c>
      <c r="L111" s="52">
        <f t="shared" si="55"/>
        <v>30000.000000000007</v>
      </c>
      <c r="M111" s="52">
        <f t="shared" si="55"/>
        <v>30000.000000000007</v>
      </c>
      <c r="N111" s="52">
        <f t="shared" si="55"/>
        <v>30000.000000000007</v>
      </c>
      <c r="O111" s="52">
        <f t="shared" si="55"/>
        <v>30000.000000000007</v>
      </c>
      <c r="P111" s="52">
        <f t="shared" si="55"/>
        <v>30000.000000000007</v>
      </c>
      <c r="Q111" s="52">
        <f t="shared" si="55"/>
        <v>30000.000000000007</v>
      </c>
    </row>
    <row r="112" spans="1:17" ht="15.5" outlineLevel="1" x14ac:dyDescent="0.35">
      <c r="A112" t="s">
        <v>77</v>
      </c>
      <c r="C112" s="52">
        <f>C86</f>
        <v>0</v>
      </c>
      <c r="D112" s="52">
        <f>D86</f>
        <v>0</v>
      </c>
      <c r="E112" s="52">
        <f t="shared" ref="E112:Q112" si="56">E86</f>
        <v>-20000</v>
      </c>
      <c r="F112" s="52">
        <f t="shared" si="56"/>
        <v>0</v>
      </c>
      <c r="G112" s="52">
        <f t="shared" si="56"/>
        <v>0</v>
      </c>
      <c r="H112" s="52">
        <f t="shared" si="56"/>
        <v>0</v>
      </c>
      <c r="I112" s="52">
        <f t="shared" si="56"/>
        <v>0</v>
      </c>
      <c r="J112" s="52">
        <f t="shared" si="56"/>
        <v>0</v>
      </c>
      <c r="K112" s="52">
        <f t="shared" si="56"/>
        <v>0</v>
      </c>
      <c r="L112" s="52">
        <f t="shared" si="56"/>
        <v>0</v>
      </c>
      <c r="M112" s="52">
        <f t="shared" si="56"/>
        <v>0</v>
      </c>
      <c r="N112" s="52">
        <f t="shared" si="56"/>
        <v>0</v>
      </c>
      <c r="O112" s="52">
        <f t="shared" si="56"/>
        <v>0</v>
      </c>
      <c r="P112" s="52">
        <f t="shared" si="56"/>
        <v>0</v>
      </c>
      <c r="Q112" s="52">
        <f t="shared" si="56"/>
        <v>0</v>
      </c>
    </row>
    <row r="113" spans="1:17" ht="15.5" outlineLevel="1" x14ac:dyDescent="0.35">
      <c r="A113" s="29" t="s">
        <v>78</v>
      </c>
      <c r="B113" s="29"/>
      <c r="C113" s="53">
        <f t="shared" ref="C113:Q113" si="57">C111+C112</f>
        <v>50000.000000000007</v>
      </c>
      <c r="D113" s="53">
        <f t="shared" si="57"/>
        <v>50000.000000000007</v>
      </c>
      <c r="E113" s="53">
        <f t="shared" si="57"/>
        <v>30000.000000000007</v>
      </c>
      <c r="F113" s="53">
        <f t="shared" si="57"/>
        <v>30000.000000000007</v>
      </c>
      <c r="G113" s="53">
        <f t="shared" si="57"/>
        <v>30000.000000000007</v>
      </c>
      <c r="H113" s="53">
        <f t="shared" si="57"/>
        <v>30000.000000000007</v>
      </c>
      <c r="I113" s="53">
        <f t="shared" si="57"/>
        <v>30000.000000000007</v>
      </c>
      <c r="J113" s="53">
        <f t="shared" si="57"/>
        <v>30000.000000000007</v>
      </c>
      <c r="K113" s="53">
        <f t="shared" si="57"/>
        <v>30000.000000000007</v>
      </c>
      <c r="L113" s="53">
        <f t="shared" si="57"/>
        <v>30000.000000000007</v>
      </c>
      <c r="M113" s="53">
        <f t="shared" si="57"/>
        <v>30000.000000000007</v>
      </c>
      <c r="N113" s="53">
        <f t="shared" si="57"/>
        <v>30000.000000000007</v>
      </c>
      <c r="O113" s="53">
        <f t="shared" si="57"/>
        <v>30000.000000000007</v>
      </c>
      <c r="P113" s="53">
        <f t="shared" si="57"/>
        <v>30000.000000000007</v>
      </c>
      <c r="Q113" s="53">
        <f t="shared" si="57"/>
        <v>30000.000000000007</v>
      </c>
    </row>
    <row r="114" spans="1:17" ht="15.5" outlineLevel="1" x14ac:dyDescent="0.35">
      <c r="A114" t="s">
        <v>30</v>
      </c>
      <c r="C114" s="52">
        <f>C45</f>
        <v>2500</v>
      </c>
      <c r="D114" s="52">
        <f>D45</f>
        <v>2500</v>
      </c>
      <c r="E114" s="52">
        <f>E45</f>
        <v>1500</v>
      </c>
      <c r="F114" s="52">
        <f>F45</f>
        <v>1500</v>
      </c>
      <c r="G114" s="52">
        <f>G45</f>
        <v>1500</v>
      </c>
      <c r="H114" s="52">
        <f t="shared" ref="H114:Q114" si="58">AVERAGE(H113,H111)*H23</f>
        <v>1500.0000000000005</v>
      </c>
      <c r="I114" s="52">
        <f t="shared" si="58"/>
        <v>1500.0000000000005</v>
      </c>
      <c r="J114" s="52">
        <f t="shared" si="58"/>
        <v>1500.0000000000005</v>
      </c>
      <c r="K114" s="52">
        <f t="shared" si="58"/>
        <v>1500.0000000000005</v>
      </c>
      <c r="L114" s="52">
        <f t="shared" si="58"/>
        <v>1500.0000000000005</v>
      </c>
      <c r="M114" s="52">
        <f t="shared" si="58"/>
        <v>1500.0000000000005</v>
      </c>
      <c r="N114" s="52">
        <f t="shared" si="58"/>
        <v>1500.0000000000005</v>
      </c>
      <c r="O114" s="52">
        <f t="shared" si="58"/>
        <v>1500.0000000000005</v>
      </c>
      <c r="P114" s="52">
        <f t="shared" si="58"/>
        <v>1500.0000000000005</v>
      </c>
      <c r="Q114" s="52">
        <f t="shared" si="58"/>
        <v>1500.0000000000005</v>
      </c>
    </row>
    <row r="115" spans="1:17" ht="15.5" x14ac:dyDescent="0.35">
      <c r="C115" s="1"/>
      <c r="D115" s="1"/>
      <c r="E115" s="1"/>
      <c r="F115" s="1"/>
      <c r="G115" s="1"/>
    </row>
    <row r="116" spans="1:17" x14ac:dyDescent="0.3">
      <c r="A116" s="34" t="s">
        <v>105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  <row r="117" spans="1:17" ht="15.5" outlineLevel="1" x14ac:dyDescent="0.35">
      <c r="C117" s="1"/>
      <c r="D117" s="1"/>
      <c r="E117" s="1"/>
      <c r="F117" s="1"/>
      <c r="G117" s="1"/>
    </row>
    <row r="118" spans="1:17" ht="15.5" outlineLevel="1" x14ac:dyDescent="0.35">
      <c r="A118" t="s">
        <v>102</v>
      </c>
      <c r="C118" s="52">
        <f t="shared" ref="C118:Q118" si="59">C48+C45</f>
        <v>25594</v>
      </c>
      <c r="D118" s="52">
        <f t="shared" si="59"/>
        <v>37299</v>
      </c>
      <c r="E118" s="52">
        <f t="shared" si="59"/>
        <v>48263</v>
      </c>
      <c r="F118" s="52">
        <f t="shared" si="59"/>
        <v>55665</v>
      </c>
      <c r="G118" s="52">
        <f t="shared" si="59"/>
        <v>57405</v>
      </c>
      <c r="H118" s="52">
        <f t="shared" si="59"/>
        <v>60275.25</v>
      </c>
      <c r="I118" s="52">
        <f t="shared" si="59"/>
        <v>67123.694399999993</v>
      </c>
      <c r="J118" s="52">
        <f t="shared" si="59"/>
        <v>73617.911833200007</v>
      </c>
      <c r="K118" s="52">
        <f t="shared" si="59"/>
        <v>85324.955373504024</v>
      </c>
      <c r="L118" s="52">
        <f t="shared" si="59"/>
        <v>93004.201357119397</v>
      </c>
      <c r="M118" s="52">
        <f t="shared" si="59"/>
        <v>102304.62149283134</v>
      </c>
      <c r="N118" s="52">
        <f t="shared" si="59"/>
        <v>112535.08364211448</v>
      </c>
      <c r="O118" s="52">
        <f t="shared" si="59"/>
        <v>123788.59200632595</v>
      </c>
      <c r="P118" s="52">
        <f t="shared" si="59"/>
        <v>136167.45120695856</v>
      </c>
      <c r="Q118" s="52">
        <f t="shared" si="59"/>
        <v>149784.19632765444</v>
      </c>
    </row>
    <row r="119" spans="1:17" ht="15.5" outlineLevel="1" x14ac:dyDescent="0.35">
      <c r="A119" t="s">
        <v>103</v>
      </c>
      <c r="C119" s="52">
        <f t="shared" ref="C119:Q119" si="60">C46</f>
        <v>19500</v>
      </c>
      <c r="D119" s="52">
        <f t="shared" si="60"/>
        <v>18150</v>
      </c>
      <c r="E119" s="52">
        <f t="shared" si="60"/>
        <v>17205</v>
      </c>
      <c r="F119" s="52">
        <f t="shared" si="60"/>
        <v>16543.5</v>
      </c>
      <c r="G119" s="52">
        <f t="shared" si="60"/>
        <v>16080.449999999999</v>
      </c>
      <c r="H119" s="52">
        <f t="shared" si="60"/>
        <v>15029.402627288579</v>
      </c>
      <c r="I119" s="52">
        <f t="shared" si="60"/>
        <v>15318.044550866047</v>
      </c>
      <c r="J119" s="52">
        <f t="shared" si="60"/>
        <v>15869.596755425171</v>
      </c>
      <c r="K119" s="52">
        <f t="shared" si="60"/>
        <v>16668.333173328356</v>
      </c>
      <c r="L119" s="52">
        <f t="shared" si="60"/>
        <v>17719.56433329478</v>
      </c>
      <c r="M119" s="52">
        <f t="shared" si="60"/>
        <v>19045.224873561838</v>
      </c>
      <c r="N119" s="52">
        <f t="shared" si="60"/>
        <v>20682.219403927233</v>
      </c>
      <c r="O119" s="52">
        <f t="shared" si="60"/>
        <v>22590.074177863298</v>
      </c>
      <c r="P119" s="52">
        <f t="shared" si="60"/>
        <v>24752.950976754255</v>
      </c>
      <c r="Q119" s="52">
        <f t="shared" si="60"/>
        <v>27170.621461527986</v>
      </c>
    </row>
    <row r="120" spans="1:17" ht="15.5" outlineLevel="1" x14ac:dyDescent="0.35">
      <c r="A120" s="30" t="s">
        <v>104</v>
      </c>
      <c r="B120" s="29"/>
      <c r="C120" s="49">
        <f>SUM(C118:C119)</f>
        <v>45094</v>
      </c>
      <c r="D120" s="49">
        <f t="shared" ref="D120:Q120" si="61">SUM(D118:D119)</f>
        <v>55449</v>
      </c>
      <c r="E120" s="49">
        <f t="shared" si="61"/>
        <v>65468</v>
      </c>
      <c r="F120" s="49">
        <f t="shared" si="61"/>
        <v>72208.5</v>
      </c>
      <c r="G120" s="49">
        <f t="shared" si="61"/>
        <v>73485.45</v>
      </c>
      <c r="H120" s="49">
        <f t="shared" si="61"/>
        <v>75304.652627288582</v>
      </c>
      <c r="I120" s="49">
        <f t="shared" si="61"/>
        <v>82441.738950866042</v>
      </c>
      <c r="J120" s="49">
        <f t="shared" si="61"/>
        <v>89487.508588625176</v>
      </c>
      <c r="K120" s="49">
        <f t="shared" si="61"/>
        <v>101993.28854683238</v>
      </c>
      <c r="L120" s="49">
        <f t="shared" si="61"/>
        <v>110723.76569041418</v>
      </c>
      <c r="M120" s="49">
        <f t="shared" si="61"/>
        <v>121349.84636639318</v>
      </c>
      <c r="N120" s="49">
        <f t="shared" si="61"/>
        <v>133217.30304604172</v>
      </c>
      <c r="O120" s="49">
        <f t="shared" si="61"/>
        <v>146378.66618418926</v>
      </c>
      <c r="P120" s="49">
        <f t="shared" si="61"/>
        <v>160920.40218371281</v>
      </c>
      <c r="Q120" s="49">
        <f t="shared" si="61"/>
        <v>176954.81778918242</v>
      </c>
    </row>
    <row r="121" spans="1:17" ht="15.5" outlineLevel="1" x14ac:dyDescent="0.35">
      <c r="C121" s="1"/>
      <c r="D121" s="1"/>
      <c r="E121" s="1"/>
      <c r="F121" s="1"/>
      <c r="G121" s="1"/>
    </row>
    <row r="122" spans="1:17" ht="15.5" outlineLevel="1" x14ac:dyDescent="0.35">
      <c r="A122" t="s">
        <v>92</v>
      </c>
      <c r="C122" s="52">
        <f t="shared" ref="C122:Q122" si="62">C79</f>
        <v>12971.179199999999</v>
      </c>
      <c r="D122" s="52">
        <f t="shared" si="62"/>
        <v>28238.733497877969</v>
      </c>
      <c r="E122" s="52">
        <f t="shared" si="62"/>
        <v>37505.343885131326</v>
      </c>
      <c r="F122" s="52">
        <f t="shared" si="62"/>
        <v>42354.07902359531</v>
      </c>
      <c r="G122" s="52">
        <f t="shared" si="62"/>
        <v>43480.18475858029</v>
      </c>
      <c r="H122" s="52">
        <f t="shared" si="62"/>
        <v>60988.961535161856</v>
      </c>
      <c r="I122" s="52">
        <f t="shared" si="62"/>
        <v>66560.680557371728</v>
      </c>
      <c r="J122" s="52">
        <f t="shared" si="62"/>
        <v>72184.022253747316</v>
      </c>
      <c r="K122" s="52">
        <f t="shared" si="62"/>
        <v>82062.118049558892</v>
      </c>
      <c r="L122" s="52">
        <f t="shared" si="62"/>
        <v>88806.53466942106</v>
      </c>
      <c r="M122" s="52">
        <f t="shared" si="62"/>
        <v>97091.854237172898</v>
      </c>
      <c r="N122" s="52">
        <f t="shared" si="62"/>
        <v>106706.39208069399</v>
      </c>
      <c r="O122" s="52">
        <f t="shared" si="62"/>
        <v>117335.54615814945</v>
      </c>
      <c r="P122" s="52">
        <f t="shared" si="62"/>
        <v>129163.72398271871</v>
      </c>
      <c r="Q122" s="52">
        <f t="shared" si="62"/>
        <v>141990.42304113702</v>
      </c>
    </row>
    <row r="123" spans="1:17" ht="15.5" outlineLevel="1" x14ac:dyDescent="0.35">
      <c r="A123" t="s">
        <v>93</v>
      </c>
      <c r="C123" s="52">
        <f t="shared" ref="C123:Q123" si="63">C82</f>
        <v>-15000</v>
      </c>
      <c r="D123" s="52">
        <f t="shared" si="63"/>
        <v>-15000</v>
      </c>
      <c r="E123" s="52">
        <f t="shared" si="63"/>
        <v>-15000</v>
      </c>
      <c r="F123" s="52">
        <f t="shared" si="63"/>
        <v>-15000</v>
      </c>
      <c r="G123" s="52">
        <f t="shared" si="63"/>
        <v>-15000</v>
      </c>
      <c r="H123" s="52">
        <f t="shared" si="63"/>
        <v>-15750</v>
      </c>
      <c r="I123" s="52">
        <f t="shared" si="63"/>
        <v>-16695</v>
      </c>
      <c r="J123" s="52">
        <f t="shared" si="63"/>
        <v>-17863.650000000001</v>
      </c>
      <c r="K123" s="52">
        <f t="shared" si="63"/>
        <v>-19292.742000000002</v>
      </c>
      <c r="L123" s="52">
        <f t="shared" si="63"/>
        <v>-21029.088780000002</v>
      </c>
      <c r="M123" s="52">
        <f t="shared" si="63"/>
        <v>-23131.997658000008</v>
      </c>
      <c r="N123" s="52">
        <f t="shared" si="63"/>
        <v>-25445.197423800011</v>
      </c>
      <c r="O123" s="52">
        <f t="shared" si="63"/>
        <v>-27989.717166180013</v>
      </c>
      <c r="P123" s="52">
        <f t="shared" si="63"/>
        <v>-30788.688882798018</v>
      </c>
      <c r="Q123" s="52">
        <f t="shared" si="63"/>
        <v>-33867.557771077823</v>
      </c>
    </row>
    <row r="124" spans="1:17" outlineLevel="1" x14ac:dyDescent="0.3">
      <c r="A124" s="33" t="s">
        <v>94</v>
      </c>
      <c r="B124" s="29"/>
      <c r="C124" s="91">
        <f>C122+C123</f>
        <v>-2028.8208000000013</v>
      </c>
      <c r="D124" s="91">
        <f t="shared" ref="D124:Q124" si="64">D122+D123</f>
        <v>13238.733497877969</v>
      </c>
      <c r="E124" s="91">
        <f t="shared" si="64"/>
        <v>22505.343885131326</v>
      </c>
      <c r="F124" s="91">
        <f t="shared" si="64"/>
        <v>27354.07902359531</v>
      </c>
      <c r="G124" s="91">
        <f t="shared" si="64"/>
        <v>28480.18475858029</v>
      </c>
      <c r="H124" s="91">
        <f t="shared" si="64"/>
        <v>45238.961535161856</v>
      </c>
      <c r="I124" s="91">
        <f t="shared" si="64"/>
        <v>49865.680557371728</v>
      </c>
      <c r="J124" s="91">
        <f t="shared" si="64"/>
        <v>54320.372253747315</v>
      </c>
      <c r="K124" s="91">
        <f t="shared" si="64"/>
        <v>62769.376049558894</v>
      </c>
      <c r="L124" s="91">
        <f t="shared" si="64"/>
        <v>67777.445889421055</v>
      </c>
      <c r="M124" s="91">
        <f t="shared" si="64"/>
        <v>73959.856579172891</v>
      </c>
      <c r="N124" s="91">
        <f t="shared" si="64"/>
        <v>81261.194656893975</v>
      </c>
      <c r="O124" s="91">
        <f t="shared" si="64"/>
        <v>89345.828991969436</v>
      </c>
      <c r="P124" s="91">
        <f t="shared" si="64"/>
        <v>98375.0350999207</v>
      </c>
      <c r="Q124" s="91">
        <f t="shared" si="64"/>
        <v>108122.86527005921</v>
      </c>
    </row>
    <row r="125" spans="1:17" outlineLevel="1" x14ac:dyDescent="0.3"/>
    <row r="126" spans="1:17" outlineLevel="1" x14ac:dyDescent="0.3">
      <c r="A126" s="92"/>
      <c r="B126" s="102" t="s">
        <v>95</v>
      </c>
      <c r="C126" s="93" t="s">
        <v>96</v>
      </c>
      <c r="D126" s="94" t="s">
        <v>97</v>
      </c>
    </row>
    <row r="127" spans="1:17" outlineLevel="1" x14ac:dyDescent="0.3">
      <c r="A127" s="95" t="s">
        <v>98</v>
      </c>
      <c r="B127" s="101" t="s">
        <v>96</v>
      </c>
      <c r="C127" s="96">
        <v>8</v>
      </c>
      <c r="D127" s="97">
        <v>0.04</v>
      </c>
    </row>
    <row r="128" spans="1:17" outlineLevel="1" x14ac:dyDescent="0.3">
      <c r="A128" s="95" t="s">
        <v>99</v>
      </c>
      <c r="B128" s="58">
        <f>HLOOKUP(B127,C126:D128,3,FALSE)</f>
        <v>1415638.5423134593</v>
      </c>
      <c r="C128" s="58">
        <f>C127*Q120</f>
        <v>1415638.5423134593</v>
      </c>
      <c r="D128" s="98">
        <f>(Q136*(1+D127))/(B129-D127)</f>
        <v>1874129.6646810262</v>
      </c>
    </row>
    <row r="129" spans="1:18" outlineLevel="1" x14ac:dyDescent="0.3">
      <c r="A129" s="95" t="s">
        <v>100</v>
      </c>
      <c r="B129" s="99">
        <v>0.1</v>
      </c>
      <c r="C129" s="58"/>
      <c r="D129" s="98"/>
    </row>
    <row r="130" spans="1:18" outlineLevel="1" x14ac:dyDescent="0.3">
      <c r="A130" s="95" t="s">
        <v>101</v>
      </c>
      <c r="B130" s="100">
        <v>43830</v>
      </c>
      <c r="C130" s="58"/>
      <c r="D130" s="98"/>
    </row>
    <row r="131" spans="1:18" outlineLevel="1" x14ac:dyDescent="0.3">
      <c r="A131" s="29"/>
      <c r="B131" s="29"/>
      <c r="C131" s="29"/>
      <c r="D131" s="29"/>
    </row>
    <row r="132" spans="1:18" outlineLevel="1" x14ac:dyDescent="0.3">
      <c r="G132" s="106" t="s">
        <v>101</v>
      </c>
      <c r="H132" s="106"/>
      <c r="R132" s="106" t="s">
        <v>112</v>
      </c>
    </row>
    <row r="133" spans="1:18" outlineLevel="1" x14ac:dyDescent="0.3">
      <c r="A133" s="103" t="s">
        <v>106</v>
      </c>
      <c r="B133" s="104"/>
      <c r="C133" s="104"/>
      <c r="D133" s="104"/>
      <c r="E133" s="104"/>
      <c r="F133" s="105"/>
      <c r="G133" s="105">
        <f t="shared" ref="G133:Q133" si="65">G11</f>
        <v>43830</v>
      </c>
      <c r="H133" s="105">
        <f t="shared" si="65"/>
        <v>44196</v>
      </c>
      <c r="I133" s="105">
        <f t="shared" si="65"/>
        <v>44561</v>
      </c>
      <c r="J133" s="105">
        <f t="shared" si="65"/>
        <v>44926</v>
      </c>
      <c r="K133" s="105">
        <f t="shared" si="65"/>
        <v>45291</v>
      </c>
      <c r="L133" s="105">
        <f t="shared" si="65"/>
        <v>45657</v>
      </c>
      <c r="M133" s="105">
        <f t="shared" si="65"/>
        <v>46022</v>
      </c>
      <c r="N133" s="105">
        <f t="shared" si="65"/>
        <v>46387</v>
      </c>
      <c r="O133" s="105">
        <f t="shared" si="65"/>
        <v>46752</v>
      </c>
      <c r="P133" s="105">
        <f t="shared" si="65"/>
        <v>47118</v>
      </c>
      <c r="Q133" s="105">
        <f t="shared" si="65"/>
        <v>47483</v>
      </c>
      <c r="R133" s="105">
        <f>Q133</f>
        <v>47483</v>
      </c>
    </row>
    <row r="134" spans="1:18" outlineLevel="1" x14ac:dyDescent="0.3">
      <c r="A134" s="107"/>
      <c r="B134" s="107"/>
      <c r="C134" s="107"/>
      <c r="D134" s="107"/>
      <c r="E134" s="107"/>
      <c r="F134" s="108"/>
      <c r="G134" s="108" t="s">
        <v>107</v>
      </c>
      <c r="H134" s="109">
        <f t="shared" ref="H134:I134" si="66">YEARFRAC(G133,H133)</f>
        <v>1</v>
      </c>
      <c r="I134" s="109">
        <f t="shared" si="66"/>
        <v>1</v>
      </c>
      <c r="J134" s="109">
        <f t="shared" ref="J134" si="67">YEARFRAC(I133,J133)</f>
        <v>1</v>
      </c>
      <c r="K134" s="109">
        <f t="shared" ref="K134" si="68">YEARFRAC(J133,K133)</f>
        <v>1</v>
      </c>
      <c r="L134" s="109">
        <f t="shared" ref="L134" si="69">YEARFRAC(K133,L133)</f>
        <v>1</v>
      </c>
      <c r="M134" s="109">
        <f t="shared" ref="M134" si="70">YEARFRAC(L133,M133)</f>
        <v>1</v>
      </c>
      <c r="N134" s="109">
        <f t="shared" ref="N134" si="71">YEARFRAC(M133,N133)</f>
        <v>1</v>
      </c>
      <c r="O134" s="109">
        <f t="shared" ref="O134" si="72">YEARFRAC(N133,O133)</f>
        <v>1</v>
      </c>
      <c r="P134" s="109">
        <f t="shared" ref="P134" si="73">YEARFRAC(O133,P133)</f>
        <v>1</v>
      </c>
      <c r="Q134" s="109">
        <f t="shared" ref="Q134" si="74">YEARFRAC(P133,Q133)</f>
        <v>1</v>
      </c>
      <c r="R134" s="115">
        <v>1</v>
      </c>
    </row>
    <row r="135" spans="1:18" outlineLevel="1" x14ac:dyDescent="0.3"/>
    <row r="136" spans="1:18" outlineLevel="1" x14ac:dyDescent="0.3">
      <c r="A136" s="25" t="s">
        <v>94</v>
      </c>
      <c r="G136" s="110">
        <v>0</v>
      </c>
      <c r="H136" s="111">
        <f>H124*H134</f>
        <v>45238.961535161856</v>
      </c>
      <c r="I136" s="111">
        <f t="shared" ref="I136:P136" si="75">I124*I134</f>
        <v>49865.680557371728</v>
      </c>
      <c r="J136" s="111">
        <f t="shared" si="75"/>
        <v>54320.372253747315</v>
      </c>
      <c r="K136" s="111">
        <f t="shared" si="75"/>
        <v>62769.376049558894</v>
      </c>
      <c r="L136" s="111">
        <f t="shared" si="75"/>
        <v>67777.445889421055</v>
      </c>
      <c r="M136" s="111">
        <f t="shared" si="75"/>
        <v>73959.856579172891</v>
      </c>
      <c r="N136" s="111">
        <f t="shared" si="75"/>
        <v>81261.194656893975</v>
      </c>
      <c r="O136" s="111">
        <f t="shared" si="75"/>
        <v>89345.828991969436</v>
      </c>
      <c r="P136" s="111">
        <f t="shared" si="75"/>
        <v>98375.0350999207</v>
      </c>
      <c r="Q136" s="111">
        <f>Q124*Q134</f>
        <v>108122.86527005921</v>
      </c>
      <c r="R136" s="111">
        <f>B128</f>
        <v>1415638.5423134593</v>
      </c>
    </row>
    <row r="137" spans="1:18" ht="14.5" outlineLevel="1" thickBot="1" x14ac:dyDescent="0.35"/>
    <row r="138" spans="1:18" ht="14.5" outlineLevel="1" thickBot="1" x14ac:dyDescent="0.35">
      <c r="A138" s="112" t="s">
        <v>108</v>
      </c>
      <c r="B138" s="113"/>
      <c r="C138" s="113"/>
      <c r="D138" s="113"/>
      <c r="E138" s="113"/>
      <c r="F138" s="113"/>
      <c r="G138" s="114">
        <f>XNPV($B$129,G136:$R$136,G133:$R$133)</f>
        <v>961808.11710969987</v>
      </c>
      <c r="H138" s="114">
        <f>XNPV($B$129,H136:$R$136,H133:$R$133)</f>
        <v>1058265.2309622238</v>
      </c>
      <c r="I138" s="114">
        <f>XNPV($B$129,I136:$R$136,I133:$R$133)</f>
        <v>1114328.8963697683</v>
      </c>
      <c r="J138" s="114">
        <f>XNPV($B$129,J136:$R$136,J133:$R$133)</f>
        <v>1170909.5373936361</v>
      </c>
      <c r="K138" s="114">
        <f>XNPV($B$129,K136:$R$136,K133:$R$133)</f>
        <v>1228248.0816538779</v>
      </c>
      <c r="L138" s="114">
        <f>XNPV($B$129,L136:$R$136,L133:$R$133)</f>
        <v>1282361.3875024447</v>
      </c>
      <c r="M138" s="114">
        <f>XNPV($B$129,M136:$R$136,M133:$R$133)</f>
        <v>1336042.3357743262</v>
      </c>
      <c r="N138" s="114">
        <f>XNPV($B$129,N136:$R$136,N133:$R$133)</f>
        <v>1388290.7271146686</v>
      </c>
      <c r="O138" s="114">
        <f>XNPV($B$129,O136:$R$136,O133:$R$133)</f>
        <v>1437732.4857035524</v>
      </c>
      <c r="P138" s="114">
        <f>XNPV($B$129,P136:$R$136,P133:$R$133)</f>
        <v>1483612.6783576647</v>
      </c>
      <c r="Q138" s="114">
        <f>XNPV($B$129,Q136:$R$136,Q133:$R$133)</f>
        <v>1523761.4075835184</v>
      </c>
      <c r="R138" s="114"/>
    </row>
    <row r="139" spans="1:18" outlineLevel="1" x14ac:dyDescent="0.3"/>
    <row r="140" spans="1:18" outlineLevel="1" x14ac:dyDescent="0.3">
      <c r="A140" t="s">
        <v>109</v>
      </c>
      <c r="G140" s="44">
        <f t="shared" ref="G140:Q140" si="76">G55</f>
        <v>139549.5203651849</v>
      </c>
      <c r="H140" s="44">
        <f t="shared" si="76"/>
        <v>184788.48190034676</v>
      </c>
      <c r="I140" s="44">
        <f t="shared" si="76"/>
        <v>234654.16245771848</v>
      </c>
      <c r="J140" s="44">
        <f t="shared" si="76"/>
        <v>288974.53471146582</v>
      </c>
      <c r="K140" s="44">
        <f t="shared" si="76"/>
        <v>351743.91076102469</v>
      </c>
      <c r="L140" s="44">
        <f t="shared" si="76"/>
        <v>419521.35665044573</v>
      </c>
      <c r="M140" s="44">
        <f t="shared" si="76"/>
        <v>493481.21322961862</v>
      </c>
      <c r="N140" s="44">
        <f t="shared" si="76"/>
        <v>574742.40788651258</v>
      </c>
      <c r="O140" s="44">
        <f t="shared" si="76"/>
        <v>664088.23687848204</v>
      </c>
      <c r="P140" s="44">
        <f t="shared" si="76"/>
        <v>762463.27197840274</v>
      </c>
      <c r="Q140" s="44">
        <f t="shared" si="76"/>
        <v>870586.13724846195</v>
      </c>
      <c r="R140" s="44"/>
    </row>
    <row r="141" spans="1:18" ht="14.5" outlineLevel="1" thickBot="1" x14ac:dyDescent="0.35">
      <c r="A141" t="s">
        <v>110</v>
      </c>
      <c r="G141" s="44">
        <f t="shared" ref="G141:Q141" si="77">-G63</f>
        <v>-30000</v>
      </c>
      <c r="H141" s="44">
        <f t="shared" si="77"/>
        <v>-30000.000000000007</v>
      </c>
      <c r="I141" s="44">
        <f t="shared" si="77"/>
        <v>-30000.000000000007</v>
      </c>
      <c r="J141" s="44">
        <f t="shared" si="77"/>
        <v>-30000.000000000007</v>
      </c>
      <c r="K141" s="44">
        <f t="shared" si="77"/>
        <v>-30000.000000000007</v>
      </c>
      <c r="L141" s="44">
        <f t="shared" si="77"/>
        <v>-30000.000000000007</v>
      </c>
      <c r="M141" s="44">
        <f t="shared" si="77"/>
        <v>-30000.000000000007</v>
      </c>
      <c r="N141" s="44">
        <f t="shared" si="77"/>
        <v>-30000.000000000007</v>
      </c>
      <c r="O141" s="44">
        <f t="shared" si="77"/>
        <v>-30000.000000000007</v>
      </c>
      <c r="P141" s="44">
        <f t="shared" si="77"/>
        <v>-30000.000000000007</v>
      </c>
      <c r="Q141" s="44">
        <f t="shared" si="77"/>
        <v>-30000.000000000007</v>
      </c>
      <c r="R141" s="44"/>
    </row>
    <row r="142" spans="1:18" ht="14.5" outlineLevel="1" thickBot="1" x14ac:dyDescent="0.35">
      <c r="A142" s="112" t="s">
        <v>111</v>
      </c>
      <c r="B142" s="113"/>
      <c r="C142" s="113"/>
      <c r="D142" s="113"/>
      <c r="E142" s="113"/>
      <c r="F142" s="113"/>
      <c r="G142" s="114">
        <f>SUM(G138:G141)</f>
        <v>1071357.6374748847</v>
      </c>
      <c r="H142" s="114">
        <f t="shared" ref="H142:Q142" si="78">SUM(H138:H141)</f>
        <v>1213053.7128625705</v>
      </c>
      <c r="I142" s="114">
        <f t="shared" si="78"/>
        <v>1318983.0588274868</v>
      </c>
      <c r="J142" s="114">
        <f t="shared" si="78"/>
        <v>1429884.0721051018</v>
      </c>
      <c r="K142" s="114">
        <f t="shared" si="78"/>
        <v>1549991.9924149024</v>
      </c>
      <c r="L142" s="114">
        <f t="shared" si="78"/>
        <v>1671882.7441528905</v>
      </c>
      <c r="M142" s="114">
        <f t="shared" si="78"/>
        <v>1799523.5490039447</v>
      </c>
      <c r="N142" s="114">
        <f t="shared" si="78"/>
        <v>1933033.1350011812</v>
      </c>
      <c r="O142" s="114">
        <f t="shared" si="78"/>
        <v>2071820.7225820343</v>
      </c>
      <c r="P142" s="114">
        <f t="shared" si="78"/>
        <v>2216075.9503360675</v>
      </c>
      <c r="Q142" s="114">
        <f t="shared" si="78"/>
        <v>2364347.5448319805</v>
      </c>
      <c r="R142" s="114"/>
    </row>
    <row r="143" spans="1:18" outlineLevel="1" x14ac:dyDescent="0.3"/>
    <row r="144" spans="1:18" outlineLevel="1" x14ac:dyDescent="0.3">
      <c r="B144" s="58"/>
    </row>
    <row r="145" spans="5:11" outlineLevel="1" x14ac:dyDescent="0.3">
      <c r="E145" s="116" t="s">
        <v>111</v>
      </c>
      <c r="F145" s="116"/>
      <c r="G145" s="116"/>
      <c r="H145" s="116"/>
      <c r="I145" s="116"/>
      <c r="J145" s="116"/>
      <c r="K145" s="116"/>
    </row>
    <row r="146" spans="5:11" outlineLevel="1" x14ac:dyDescent="0.3">
      <c r="G146" s="117" t="s">
        <v>100</v>
      </c>
      <c r="H146" s="117"/>
      <c r="I146" s="117"/>
      <c r="J146" s="117"/>
      <c r="K146" s="117"/>
    </row>
    <row r="147" spans="5:11" outlineLevel="1" x14ac:dyDescent="0.3">
      <c r="F147" s="118">
        <f>G142</f>
        <v>1071357.6374748847</v>
      </c>
      <c r="G147" s="119">
        <v>0.12</v>
      </c>
      <c r="H147" s="120">
        <f>+G147-0.01</f>
        <v>0.11</v>
      </c>
      <c r="I147" s="120">
        <f t="shared" ref="I147:K147" si="79">+H147-0.01</f>
        <v>0.1</v>
      </c>
      <c r="J147" s="120">
        <f t="shared" si="79"/>
        <v>9.0000000000000011E-2</v>
      </c>
      <c r="K147" s="120">
        <f t="shared" si="79"/>
        <v>8.0000000000000016E-2</v>
      </c>
    </row>
    <row r="148" spans="5:11" outlineLevel="1" x14ac:dyDescent="0.3">
      <c r="E148" s="121" t="s">
        <v>96</v>
      </c>
      <c r="F148" s="122">
        <v>6</v>
      </c>
      <c r="G148" s="123">
        <f t="dataTable" ref="G148:K152" dt2D="1" dtr="1" r1="B129" r2="C127"/>
        <v>828632.78345470619</v>
      </c>
      <c r="H148" s="124">
        <v>879456.52370534767</v>
      </c>
      <c r="I148" s="124">
        <v>935016.99960654601</v>
      </c>
      <c r="J148" s="124">
        <v>995826.44295263698</v>
      </c>
      <c r="K148" s="124">
        <v>1062459.0586169525</v>
      </c>
    </row>
    <row r="149" spans="5:11" outlineLevel="1" x14ac:dyDescent="0.3">
      <c r="E149" s="125"/>
      <c r="F149" s="126">
        <f>+F148+1</f>
        <v>7</v>
      </c>
      <c r="G149" s="127">
        <v>885554.45341648604</v>
      </c>
      <c r="H149" s="128">
        <v>941723.83105823165</v>
      </c>
      <c r="I149" s="128">
        <v>1003187.3185407153</v>
      </c>
      <c r="J149" s="128">
        <v>1070521.1445857754</v>
      </c>
      <c r="K149" s="127">
        <v>1144371.547233619</v>
      </c>
    </row>
    <row r="150" spans="5:11" outlineLevel="1" x14ac:dyDescent="0.3">
      <c r="E150" s="125"/>
      <c r="F150" s="126">
        <f t="shared" ref="F150:F152" si="80">+F149+1</f>
        <v>8</v>
      </c>
      <c r="G150" s="127">
        <v>942476.12337826577</v>
      </c>
      <c r="H150" s="128">
        <v>1003991.1384111159</v>
      </c>
      <c r="I150" s="129">
        <v>1071357.6374748847</v>
      </c>
      <c r="J150" s="128">
        <v>1145215.8462189138</v>
      </c>
      <c r="K150" s="127">
        <v>1226284.0358502858</v>
      </c>
    </row>
    <row r="151" spans="5:11" outlineLevel="1" x14ac:dyDescent="0.3">
      <c r="E151" s="125"/>
      <c r="F151" s="126">
        <f t="shared" si="80"/>
        <v>9</v>
      </c>
      <c r="G151" s="127">
        <v>999397.79334004549</v>
      </c>
      <c r="H151" s="128">
        <v>1066258.4457640001</v>
      </c>
      <c r="I151" s="128">
        <v>1139527.9564090541</v>
      </c>
      <c r="J151" s="128">
        <v>1219910.5478520521</v>
      </c>
      <c r="K151" s="127">
        <v>1308196.5244669525</v>
      </c>
    </row>
    <row r="152" spans="5:11" outlineLevel="1" x14ac:dyDescent="0.3">
      <c r="E152" s="125"/>
      <c r="F152" s="126">
        <f t="shared" si="80"/>
        <v>10</v>
      </c>
      <c r="G152" s="127">
        <v>1056319.4633018251</v>
      </c>
      <c r="H152" s="127">
        <v>1128525.753116884</v>
      </c>
      <c r="I152" s="127">
        <v>1207698.2753432235</v>
      </c>
      <c r="J152" s="127">
        <v>1294605.2494851905</v>
      </c>
      <c r="K152" s="127">
        <v>1390109.0130836191</v>
      </c>
    </row>
  </sheetData>
  <sheetProtection algorithmName="SHA-512" hashValue="XcBvoK9/5BXvi+3W+CG2L9kz8ugRMEdwetX70WxYDa5RvWZu/0I9dpVq4hSGzw/sIqC2RcLv76vwMRtSnccg6g==" saltValue="moxk3sz0LpLrkT9oorv+xA==" spinCount="100000" sheet="1" objects="1" scenarios="1" selectLockedCells="1" selectUnlockedCells="1"/>
  <conditionalFormatting sqref="C5:Q5">
    <cfRule type="cellIs" dxfId="1" priority="1" operator="equal">
      <formula>"ERROR"</formula>
    </cfRule>
    <cfRule type="cellIs" dxfId="0" priority="2" operator="equal">
      <formula>"OK"</formula>
    </cfRule>
  </conditionalFormatting>
  <dataValidations disablePrompts="1" count="1">
    <dataValidation type="list" allowBlank="1" showInputMessage="1" showErrorMessage="1" sqref="B127" xr:uid="{9C5E0229-A6F7-4451-9431-BA75B5E76929}">
      <formula1>$C$126:$D$126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3</xdr:col>
                    <xdr:colOff>209550</xdr:colOff>
                    <xdr:row>0</xdr:row>
                    <xdr:rowOff>95250</xdr:rowOff>
                  </from>
                  <to>
                    <xdr:col>4</xdr:col>
                    <xdr:colOff>546100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B3C6-F5A1-46D1-BE1A-55466D824E00}">
  <dimension ref="A1:Q41"/>
  <sheetViews>
    <sheetView showGridLines="0" topLeftCell="A25" zoomScale="75" zoomScaleNormal="75" workbookViewId="0"/>
  </sheetViews>
  <sheetFormatPr defaultRowHeight="14" x14ac:dyDescent="0.3"/>
  <cols>
    <col min="1" max="1" width="23" bestFit="1" customWidth="1"/>
    <col min="3" max="17" width="11.69921875" customWidth="1"/>
  </cols>
  <sheetData>
    <row r="1" spans="1:1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3">
      <c r="A2" s="22" t="s">
        <v>4</v>
      </c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20" x14ac:dyDescent="0.4">
      <c r="A3" s="23" t="s">
        <v>136</v>
      </c>
      <c r="B3" s="23"/>
      <c r="C3" s="24" t="s">
        <v>88</v>
      </c>
      <c r="D3" s="21"/>
      <c r="E3" s="21"/>
      <c r="F3" s="21"/>
      <c r="G3" s="21"/>
      <c r="H3" s="22" t="s">
        <v>89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3">
      <c r="A4" s="21"/>
      <c r="B4" s="21"/>
      <c r="C4" s="72">
        <v>2015</v>
      </c>
      <c r="D4" s="72">
        <f t="shared" ref="D4:Q4" si="0">C4+1</f>
        <v>2016</v>
      </c>
      <c r="E4" s="72">
        <f t="shared" si="0"/>
        <v>2017</v>
      </c>
      <c r="F4" s="72">
        <f t="shared" si="0"/>
        <v>2018</v>
      </c>
      <c r="G4" s="72">
        <f t="shared" si="0"/>
        <v>2019</v>
      </c>
      <c r="H4" s="72">
        <f t="shared" si="0"/>
        <v>2020</v>
      </c>
      <c r="I4" s="72">
        <f t="shared" si="0"/>
        <v>2021</v>
      </c>
      <c r="J4" s="72">
        <f t="shared" si="0"/>
        <v>2022</v>
      </c>
      <c r="K4" s="72">
        <f t="shared" si="0"/>
        <v>2023</v>
      </c>
      <c r="L4" s="72">
        <f t="shared" si="0"/>
        <v>2024</v>
      </c>
      <c r="M4" s="72">
        <f t="shared" si="0"/>
        <v>2025</v>
      </c>
      <c r="N4" s="72">
        <f t="shared" si="0"/>
        <v>2026</v>
      </c>
      <c r="O4" s="72">
        <f t="shared" si="0"/>
        <v>2027</v>
      </c>
      <c r="P4" s="72">
        <f t="shared" si="0"/>
        <v>2028</v>
      </c>
      <c r="Q4" s="72">
        <f t="shared" si="0"/>
        <v>2029</v>
      </c>
    </row>
    <row r="6" spans="1:17" s="1" customFormat="1" ht="15.5" x14ac:dyDescent="0.35">
      <c r="A6" s="130" t="s">
        <v>26</v>
      </c>
      <c r="B6" s="130"/>
      <c r="C6" s="130"/>
      <c r="D6" s="131"/>
      <c r="E6" s="131"/>
      <c r="F6" s="131"/>
      <c r="G6" s="131"/>
      <c r="H6" s="131"/>
    </row>
    <row r="7" spans="1:17" s="1" customFormat="1" ht="15.5" x14ac:dyDescent="0.35">
      <c r="A7" s="1" t="s">
        <v>113</v>
      </c>
      <c r="C7" s="152">
        <f>'Financial Model'!C41/'Financial Model'!C39</f>
        <v>0.61744782220827987</v>
      </c>
      <c r="D7" s="152">
        <f>'Financial Model'!D41/'Financial Model'!D39</f>
        <v>0.59348271598665381</v>
      </c>
      <c r="E7" s="152">
        <f>'Financial Model'!E41/'Financial Model'!E39</f>
        <v>0.62600022840610603</v>
      </c>
      <c r="F7" s="152">
        <f>'Financial Model'!F41/'Financial Model'!F39</f>
        <v>0.63008549890755294</v>
      </c>
      <c r="G7" s="152">
        <f>'Financial Model'!G41/'Financial Model'!G39</f>
        <v>0.62386915342371263</v>
      </c>
      <c r="H7" s="152">
        <f>'Financial Model'!H41/'Financial Model'!H39</f>
        <v>0.62386915342371263</v>
      </c>
      <c r="I7" s="152">
        <f>'Financial Model'!I41/'Financial Model'!I39</f>
        <v>0.63</v>
      </c>
      <c r="J7" s="152">
        <f>'Financial Model'!J41/'Financial Model'!J39</f>
        <v>0.64</v>
      </c>
      <c r="K7" s="152">
        <f>'Financial Model'!K41/'Financial Model'!K39</f>
        <v>0.65</v>
      </c>
      <c r="L7" s="152">
        <f>'Financial Model'!L41/'Financial Model'!L39</f>
        <v>0.65</v>
      </c>
      <c r="M7" s="152">
        <f>'Financial Model'!M41/'Financial Model'!M39</f>
        <v>0.65</v>
      </c>
      <c r="N7" s="152">
        <f>'Financial Model'!N41/'Financial Model'!N39</f>
        <v>0.65</v>
      </c>
      <c r="O7" s="152">
        <f>'Financial Model'!O41/'Financial Model'!O39</f>
        <v>0.65</v>
      </c>
      <c r="P7" s="152">
        <f>'Financial Model'!P41/'Financial Model'!P39</f>
        <v>0.65</v>
      </c>
      <c r="Q7" s="152">
        <f>'Financial Model'!Q41/'Financial Model'!Q39</f>
        <v>0.65</v>
      </c>
    </row>
    <row r="8" spans="1:17" s="1" customFormat="1" ht="15.5" x14ac:dyDescent="0.35">
      <c r="A8" s="1" t="s">
        <v>114</v>
      </c>
      <c r="C8" s="152">
        <f>('Financial Model'!C48+'Financial Model'!C45)/'Financial Model'!C39</f>
        <v>0.25090434970149106</v>
      </c>
      <c r="D8" s="152">
        <f>('Financial Model'!D48+'Financial Model'!D45)/'Financial Model'!D39</f>
        <v>0.31586301509069659</v>
      </c>
      <c r="E8" s="152">
        <f>('Financial Model'!E48+'Financial Model'!E45)/'Financial Model'!E39</f>
        <v>0.36745212988693898</v>
      </c>
      <c r="F8" s="152">
        <f>('Financial Model'!F48+'Financial Model'!F45)/'Financial Model'!F39</f>
        <v>0.391067928425401</v>
      </c>
      <c r="G8" s="152">
        <f>('Financial Model'!G48+'Financial Model'!G45)/'Financial Model'!G39</f>
        <v>0.38074045578754678</v>
      </c>
      <c r="H8" s="152">
        <f>('Financial Model'!H48+'Financial Model'!H45)/'Financial Model'!H39</f>
        <v>0.38074045578754673</v>
      </c>
      <c r="I8" s="152">
        <f>('Financial Model'!I48+'Financial Model'!I45)/'Financial Model'!I39</f>
        <v>0.39999999999999997</v>
      </c>
      <c r="J8" s="152">
        <f>('Financial Model'!J48+'Financial Model'!J45)/'Financial Model'!J39</f>
        <v>0.41000000000000003</v>
      </c>
      <c r="K8" s="152">
        <f>('Financial Model'!K48+'Financial Model'!K45)/'Financial Model'!K39</f>
        <v>0.44000000000000006</v>
      </c>
      <c r="L8" s="152">
        <f>('Financial Model'!L48+'Financial Model'!L45)/'Financial Model'!L39</f>
        <v>0.44000000000000006</v>
      </c>
      <c r="M8" s="152">
        <f>('Financial Model'!M48+'Financial Model'!M45)/'Financial Model'!M39</f>
        <v>0.44000000000000006</v>
      </c>
      <c r="N8" s="152">
        <f>('Financial Model'!N48+'Financial Model'!N45)/'Financial Model'!N39</f>
        <v>0.44</v>
      </c>
      <c r="O8" s="152">
        <f>('Financial Model'!O48+'Financial Model'!O45)/'Financial Model'!O39</f>
        <v>0.44000000000000006</v>
      </c>
      <c r="P8" s="152">
        <f>('Financial Model'!P48+'Financial Model'!P45)/'Financial Model'!P39</f>
        <v>0.44000000000000006</v>
      </c>
      <c r="Q8" s="152">
        <f>('Financial Model'!Q48+'Financial Model'!Q45)/'Financial Model'!Q39</f>
        <v>0.44000000000000011</v>
      </c>
    </row>
    <row r="9" spans="1:17" s="1" customFormat="1" ht="15.5" x14ac:dyDescent="0.35">
      <c r="A9" s="1" t="s">
        <v>115</v>
      </c>
      <c r="C9" s="152">
        <f>'Financial Model'!C50/'Financial Model'!C39</f>
        <v>0.21541491466271923</v>
      </c>
      <c r="D9" s="152">
        <f>'Financial Model'!D50/'Financial Model'!D39</f>
        <v>0.25355066221125255</v>
      </c>
      <c r="E9" s="152">
        <f>'Financial Model'!E50/'Financial Model'!E39</f>
        <v>0.29144766747977713</v>
      </c>
      <c r="F9" s="152">
        <f>'Financial Model'!F50/'Financial Model'!F39</f>
        <v>0.3038968324207032</v>
      </c>
      <c r="G9" s="152">
        <f>'Financial Model'!G50/'Financial Model'!G39</f>
        <v>0.29386978191295654</v>
      </c>
      <c r="H9" s="152">
        <f>'Financial Model'!H50/'Financial Model'!H39</f>
        <v>0.29424525277796088</v>
      </c>
      <c r="I9" s="152">
        <f>'Financial Model'!I50/'Financial Model'!I39</f>
        <v>0.30993440630376445</v>
      </c>
      <c r="J9" s="152">
        <f>'Financial Model'!J50/'Financial Model'!J39</f>
        <v>0.31832333789830403</v>
      </c>
      <c r="K9" s="152">
        <f>'Financial Model'!K50/'Financial Model'!K39</f>
        <v>0.34259018161537469</v>
      </c>
      <c r="L9" s="152">
        <f>'Financial Model'!L50/'Financial Model'!L39</f>
        <v>0.34309636612646949</v>
      </c>
      <c r="M9" s="152">
        <f>'Financial Model'!M50/'Financial Model'!M39</f>
        <v>0.34360766361242384</v>
      </c>
      <c r="N9" s="152">
        <f>'Financial Model'!N50/'Financial Model'!N39</f>
        <v>0.34407247950874592</v>
      </c>
      <c r="O9" s="152">
        <f>'Financial Model'!O50/'Financial Model'!O39</f>
        <v>0.34449503941449328</v>
      </c>
      <c r="P9" s="152">
        <f>'Financial Model'!P50/'Financial Model'!P39</f>
        <v>0.34487918478335455</v>
      </c>
      <c r="Q9" s="152">
        <f>'Financial Model'!Q50/'Financial Model'!Q39</f>
        <v>0.34522840784595576</v>
      </c>
    </row>
    <row r="10" spans="1:17" s="1" customFormat="1" ht="15.5" x14ac:dyDescent="0.35"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1:17" s="1" customFormat="1" ht="15.5" x14ac:dyDescent="0.35">
      <c r="A11" s="1" t="s">
        <v>116</v>
      </c>
      <c r="C11" s="152">
        <f>'Financial Model'!C49/'Financial Model'!C48</f>
        <v>4.8504841084264318E-2</v>
      </c>
      <c r="D11" s="152">
        <f>'Financial Model'!D49/'Financial Model'!D48</f>
        <v>0.13960793419701803</v>
      </c>
      <c r="E11" s="152">
        <f>'Financial Model'!E49/'Financial Model'!E48</f>
        <v>0.18139995541065965</v>
      </c>
      <c r="F11" s="152">
        <f>'Financial Model'!F49/'Financial Model'!F48</f>
        <v>0.20138504525809453</v>
      </c>
      <c r="G11" s="152">
        <f>'Financial Model'!G49/'Financial Model'!G48</f>
        <v>0.20745309438189283</v>
      </c>
      <c r="H11" s="152">
        <f>'Financial Model'!H49/'Financial Model'!H48</f>
        <v>0.20745309438189283</v>
      </c>
      <c r="I11" s="152">
        <f>'Financial Model'!I49/'Financial Model'!I48</f>
        <v>0.20745309438189283</v>
      </c>
      <c r="J11" s="152">
        <f>'Financial Model'!J49/'Financial Model'!J48</f>
        <v>0.20745309438189283</v>
      </c>
      <c r="K11" s="152">
        <f>'Financial Model'!K49/'Financial Model'!K48</f>
        <v>0.20745309438189283</v>
      </c>
      <c r="L11" s="152">
        <f>'Financial Model'!L49/'Financial Model'!L48</f>
        <v>0.20745309438189286</v>
      </c>
      <c r="M11" s="152">
        <f>'Financial Model'!M49/'Financial Model'!M48</f>
        <v>0.20745309438189283</v>
      </c>
      <c r="N11" s="152">
        <f>'Financial Model'!N49/'Financial Model'!N48</f>
        <v>0.20745309438189283</v>
      </c>
      <c r="O11" s="152">
        <f>'Financial Model'!O49/'Financial Model'!O48</f>
        <v>0.20745309438189283</v>
      </c>
      <c r="P11" s="152">
        <f>'Financial Model'!P49/'Financial Model'!P48</f>
        <v>0.20745309438189283</v>
      </c>
      <c r="Q11" s="152">
        <f>'Financial Model'!Q49/'Financial Model'!Q48</f>
        <v>0.20745309438189283</v>
      </c>
    </row>
    <row r="12" spans="1:17" s="1" customFormat="1" ht="15.5" x14ac:dyDescent="0.35">
      <c r="A12" s="1" t="s">
        <v>117</v>
      </c>
      <c r="C12" s="153">
        <f>('Financial Model'!C48+'Financial Model'!C45)/'Financial Model'!C45</f>
        <v>10.2376</v>
      </c>
      <c r="D12" s="153">
        <f>('Financial Model'!D48+'Financial Model'!D45)/'Financial Model'!D45</f>
        <v>14.919600000000001</v>
      </c>
      <c r="E12" s="153">
        <f>('Financial Model'!E48+'Financial Model'!E45)/'Financial Model'!E45</f>
        <v>32.175333333333334</v>
      </c>
      <c r="F12" s="153">
        <f>('Financial Model'!F48+'Financial Model'!F45)/'Financial Model'!F45</f>
        <v>37.11</v>
      </c>
      <c r="G12" s="153">
        <f>('Financial Model'!G48+'Financial Model'!G45)/'Financial Model'!G45</f>
        <v>38.270000000000003</v>
      </c>
      <c r="H12" s="153">
        <f>('Financial Model'!H48+'Financial Model'!H45)/'Financial Model'!H45</f>
        <v>40.183499999999988</v>
      </c>
      <c r="I12" s="153">
        <f>('Financial Model'!I48+'Financial Model'!I45)/'Financial Model'!I45</f>
        <v>44.749129599999982</v>
      </c>
      <c r="J12" s="153">
        <f>('Financial Model'!J48+'Financial Model'!J45)/'Financial Model'!J45</f>
        <v>49.078607888799986</v>
      </c>
      <c r="K12" s="153">
        <f>('Financial Model'!K48+'Financial Model'!K45)/'Financial Model'!K45</f>
        <v>56.883303582335998</v>
      </c>
      <c r="L12" s="153">
        <f>('Financial Model'!L48+'Financial Model'!L45)/'Financial Model'!L45</f>
        <v>62.002800904746245</v>
      </c>
      <c r="M12" s="153">
        <f>('Financial Model'!M48+'Financial Model'!M45)/'Financial Model'!M45</f>
        <v>68.203080995220873</v>
      </c>
      <c r="N12" s="153">
        <f>('Financial Model'!N48+'Financial Model'!N45)/'Financial Model'!N45</f>
        <v>75.023389094742967</v>
      </c>
      <c r="O12" s="153">
        <f>('Financial Model'!O48+'Financial Model'!O45)/'Financial Model'!O45</f>
        <v>82.525728004217271</v>
      </c>
      <c r="P12" s="153">
        <f>('Financial Model'!P48+'Financial Model'!P45)/'Financial Model'!P45</f>
        <v>90.778300804639017</v>
      </c>
      <c r="Q12" s="153">
        <f>('Financial Model'!Q48+'Financial Model'!Q45)/'Financial Model'!Q45</f>
        <v>99.856130885102928</v>
      </c>
    </row>
    <row r="13" spans="1:17" s="1" customFormat="1" ht="15.5" x14ac:dyDescent="0.35"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s="1" customFormat="1" ht="15.5" x14ac:dyDescent="0.35">
      <c r="A14" s="130" t="s">
        <v>19</v>
      </c>
      <c r="B14" s="130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</row>
    <row r="15" spans="1:17" s="1" customFormat="1" ht="15.5" x14ac:dyDescent="0.35">
      <c r="A15" s="1" t="s">
        <v>119</v>
      </c>
      <c r="B15" s="130"/>
      <c r="C15" s="153">
        <f>SUM('Financial Model'!C55:C57)/'Financial Model'!C62</f>
        <v>20.725246444404586</v>
      </c>
      <c r="D15" s="153">
        <f>SUM('Financial Model'!D55:D57)/'Financial Model'!D62</f>
        <v>20.147282038554696</v>
      </c>
      <c r="E15" s="153">
        <f>SUM('Financial Model'!E55:E57)/'Financial Model'!E62</f>
        <v>20.378866637422245</v>
      </c>
      <c r="F15" s="153">
        <f>SUM('Financial Model'!F55:F57)/'Financial Model'!F62</f>
        <v>24.445851332587193</v>
      </c>
      <c r="G15" s="153">
        <f>SUM('Financial Model'!G55:G57)/'Financial Model'!G62</f>
        <v>27.936893028598995</v>
      </c>
      <c r="H15" s="153">
        <f>SUM('Financial Model'!H55:H57)/'Financial Model'!H62</f>
        <v>34.447503457653788</v>
      </c>
      <c r="I15" s="153">
        <f>SUM('Financial Model'!I55:I57)/'Financial Model'!I62</f>
        <v>41.144291370154299</v>
      </c>
      <c r="J15" s="153">
        <f>SUM('Financial Model'!J55:J57)/'Financial Model'!J62</f>
        <v>48.094026342448657</v>
      </c>
      <c r="K15" s="153">
        <f>SUM('Financial Model'!K55:K57)/'Financial Model'!K62</f>
        <v>55.253074942350104</v>
      </c>
      <c r="L15" s="153">
        <f>SUM('Financial Model'!L55:L57)/'Financial Model'!L62</f>
        <v>60.290863239179146</v>
      </c>
      <c r="M15" s="153">
        <f>SUM('Financial Model'!M55:M57)/'Financial Model'!M62</f>
        <v>64.068684582137735</v>
      </c>
      <c r="N15" s="153">
        <f>SUM('Financial Model'!N55:N57)/'Financial Model'!N62</f>
        <v>67.633732111565678</v>
      </c>
      <c r="O15" s="153">
        <f>SUM('Financial Model'!O55:O57)/'Financial Model'!O62</f>
        <v>70.870471362429157</v>
      </c>
      <c r="P15" s="153">
        <f>SUM('Financial Model'!P55:P57)/'Financial Model'!P62</f>
        <v>74.014555397156983</v>
      </c>
      <c r="Q15" s="153">
        <f>SUM('Financial Model'!Q55:Q57)/'Financial Model'!Q62</f>
        <v>76.497104077728395</v>
      </c>
    </row>
    <row r="16" spans="1:17" s="1" customFormat="1" ht="15.5" x14ac:dyDescent="0.35">
      <c r="A16" s="1" t="s">
        <v>118</v>
      </c>
      <c r="C16" s="153">
        <f>SUM('Financial Model'!C55:C56)/'Financial Model'!C62</f>
        <v>18.725246444404586</v>
      </c>
      <c r="D16" s="153">
        <f>SUM('Financial Model'!D55:D56)/'Financial Model'!D62</f>
        <v>18.147282038554696</v>
      </c>
      <c r="E16" s="153">
        <f>SUM('Financial Model'!E55:E56)/'Financial Model'!E62</f>
        <v>18.378866637422245</v>
      </c>
      <c r="F16" s="153">
        <f>SUM('Financial Model'!F55:F56)/'Financial Model'!F62</f>
        <v>22.445851332587193</v>
      </c>
      <c r="G16" s="153">
        <f>SUM('Financial Model'!G55:G56)/'Financial Model'!G62</f>
        <v>25.936893028598995</v>
      </c>
      <c r="H16" s="153">
        <f>SUM('Financial Model'!H55:H56)/'Financial Model'!H62</f>
        <v>32.447503457653788</v>
      </c>
      <c r="I16" s="153">
        <f>SUM('Financial Model'!I55:I56)/'Financial Model'!I62</f>
        <v>39.144291370154299</v>
      </c>
      <c r="J16" s="153">
        <f>SUM('Financial Model'!J55:J56)/'Financial Model'!J62</f>
        <v>46.094026342448657</v>
      </c>
      <c r="K16" s="153">
        <f>SUM('Financial Model'!K55:K56)/'Financial Model'!K62</f>
        <v>53.253074942350111</v>
      </c>
      <c r="L16" s="153">
        <f>SUM('Financial Model'!L55:L56)/'Financial Model'!L62</f>
        <v>58.290863239179146</v>
      </c>
      <c r="M16" s="153">
        <f>SUM('Financial Model'!M55:M56)/'Financial Model'!M62</f>
        <v>62.068684582137735</v>
      </c>
      <c r="N16" s="153">
        <f>SUM('Financial Model'!N55:N56)/'Financial Model'!N62</f>
        <v>65.633732111565678</v>
      </c>
      <c r="O16" s="153">
        <f>SUM('Financial Model'!O55:O56)/'Financial Model'!O62</f>
        <v>68.870471362429171</v>
      </c>
      <c r="P16" s="153">
        <f>SUM('Financial Model'!P55:P56)/'Financial Model'!P62</f>
        <v>72.014555397156983</v>
      </c>
      <c r="Q16" s="153">
        <f>SUM('Financial Model'!Q55:Q56)/'Financial Model'!Q62</f>
        <v>74.497104077728395</v>
      </c>
    </row>
    <row r="17" spans="1:17" s="1" customFormat="1" ht="15.5" x14ac:dyDescent="0.35">
      <c r="A17" s="1" t="s">
        <v>137</v>
      </c>
      <c r="C17" s="153">
        <f>'Financial Model'!C55/'Financial Model'!C64</f>
        <v>1.261007029384646</v>
      </c>
      <c r="D17" s="153">
        <f>'Financial Model'!D55/'Financial Model'!D64</f>
        <v>1.4819218965167766</v>
      </c>
      <c r="E17" s="153">
        <f>'Financial Model'!E55/'Financial Model'!E64</f>
        <v>2.3978728580760733</v>
      </c>
      <c r="F17" s="153">
        <f>'Financial Model'!F55/'Financial Model'!F64</f>
        <v>3.1495271741311486</v>
      </c>
      <c r="G17" s="153">
        <f>'Financial Model'!G55/'Financial Model'!G64</f>
        <v>3.9121280694453451</v>
      </c>
      <c r="H17" s="153">
        <f>'Financial Model'!H55/'Financial Model'!H64</f>
        <v>5.1418286603364001</v>
      </c>
      <c r="I17" s="153">
        <f>'Financial Model'!I55/'Financial Model'!I64</f>
        <v>6.4805584265485612</v>
      </c>
      <c r="J17" s="153">
        <f>'Financial Model'!J55/'Financial Model'!J64</f>
        <v>7.9249243481077301</v>
      </c>
      <c r="K17" s="153">
        <f>'Financial Model'!K55/'Financial Model'!K64</f>
        <v>9.5615810006468891</v>
      </c>
      <c r="L17" s="153">
        <f>'Financial Model'!L55/'Financial Model'!L64</f>
        <v>11.223796365443441</v>
      </c>
      <c r="M17" s="153">
        <f>'Financial Model'!M55/'Financial Model'!M64</f>
        <v>12.939402332683942</v>
      </c>
      <c r="N17" s="153">
        <f>'Financial Model'!N55/'Financial Model'!N64</f>
        <v>14.75527591897173</v>
      </c>
      <c r="O17" s="153">
        <f>'Financial Model'!O55/'Financial Model'!O64</f>
        <v>16.666028553854051</v>
      </c>
      <c r="P17" s="153">
        <f>'Financial Model'!P55/'Financial Model'!P64</f>
        <v>18.686951617529161</v>
      </c>
      <c r="Q17" s="153">
        <f>'Financial Model'!Q55/'Financial Model'!Q64</f>
        <v>20.770448902956996</v>
      </c>
    </row>
    <row r="18" spans="1:17" s="1" customFormat="1" ht="15.5" x14ac:dyDescent="0.35">
      <c r="A18" s="1" t="s">
        <v>120</v>
      </c>
      <c r="C18" s="153">
        <f>'Financial Model'!C39/'Financial Model'!C59</f>
        <v>0.80716984010932957</v>
      </c>
      <c r="D18" s="153">
        <f>'Financial Model'!D39/'Financial Model'!D59</f>
        <v>0.8491424097917758</v>
      </c>
      <c r="E18" s="153">
        <f>'Financial Model'!E39/'Financial Model'!E59</f>
        <v>0.9364921725597215</v>
      </c>
      <c r="F18" s="153">
        <f>'Financial Model'!F39/'Financial Model'!F59</f>
        <v>0.85071789491980887</v>
      </c>
      <c r="G18" s="153">
        <f>'Financial Model'!G39/'Financial Model'!G59</f>
        <v>0.76943658830418504</v>
      </c>
      <c r="H18" s="153">
        <f>'Financial Model'!H39/'Financial Model'!H59</f>
        <v>0.6520189989712889</v>
      </c>
      <c r="I18" s="153">
        <f>'Financial Model'!I39/'Financial Model'!I59</f>
        <v>0.56868850632587598</v>
      </c>
      <c r="J18" s="153">
        <f>'Financial Model'!J39/'Financial Model'!J59</f>
        <v>0.50938849343972248</v>
      </c>
      <c r="K18" s="153">
        <f>'Financial Model'!K39/'Financial Model'!K59</f>
        <v>0.46253952827017319</v>
      </c>
      <c r="L18" s="153">
        <f>'Financial Model'!L39/'Financial Model'!L59</f>
        <v>0.42930318126300782</v>
      </c>
      <c r="M18" s="153">
        <f>'Financial Model'!M39/'Financial Model'!M59</f>
        <v>0.40576627883942251</v>
      </c>
      <c r="N18" s="153">
        <f>'Financial Model'!N39/'Financial Model'!N59</f>
        <v>0.38644591777861775</v>
      </c>
      <c r="O18" s="153">
        <f>'Financial Model'!O39/'Financial Model'!O59</f>
        <v>0.37035431485402998</v>
      </c>
      <c r="P18" s="153">
        <f>'Financial Model'!P39/'Financial Model'!P59</f>
        <v>0.35680933751619415</v>
      </c>
      <c r="Q18" s="153">
        <f>'Financial Model'!Q39/'Financial Model'!Q59</f>
        <v>0.34526440357798632</v>
      </c>
    </row>
    <row r="19" spans="1:17" s="1" customFormat="1" ht="15.5" x14ac:dyDescent="0.35"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</row>
    <row r="20" spans="1:17" s="1" customFormat="1" ht="15.5" x14ac:dyDescent="0.35">
      <c r="A20" s="1" t="s">
        <v>121</v>
      </c>
      <c r="C20" s="132">
        <f>'Financial Model'!C12</f>
        <v>365</v>
      </c>
      <c r="D20" s="132">
        <f>'Financial Model'!D12</f>
        <v>366</v>
      </c>
      <c r="E20" s="132">
        <f>'Financial Model'!E12</f>
        <v>365</v>
      </c>
      <c r="F20" s="132">
        <f>'Financial Model'!F12</f>
        <v>365</v>
      </c>
      <c r="G20" s="132">
        <f>'Financial Model'!G12</f>
        <v>365</v>
      </c>
      <c r="H20" s="132">
        <f>'Financial Model'!H12</f>
        <v>366</v>
      </c>
      <c r="I20" s="132">
        <f>'Financial Model'!I12</f>
        <v>365</v>
      </c>
      <c r="J20" s="132">
        <f>'Financial Model'!J12</f>
        <v>365</v>
      </c>
      <c r="K20" s="132">
        <f>'Financial Model'!K12</f>
        <v>365</v>
      </c>
      <c r="L20" s="132">
        <f>'Financial Model'!L12</f>
        <v>366</v>
      </c>
      <c r="M20" s="132">
        <f>'Financial Model'!M12</f>
        <v>365</v>
      </c>
      <c r="N20" s="132">
        <f>'Financial Model'!N12</f>
        <v>365</v>
      </c>
      <c r="O20" s="132">
        <f>'Financial Model'!O12</f>
        <v>365</v>
      </c>
      <c r="P20" s="132">
        <f>'Financial Model'!P12</f>
        <v>366</v>
      </c>
      <c r="Q20" s="132">
        <f>'Financial Model'!Q12</f>
        <v>365</v>
      </c>
    </row>
    <row r="21" spans="1:17" s="1" customFormat="1" ht="15.5" x14ac:dyDescent="0.35"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</row>
    <row r="22" spans="1:17" s="1" customFormat="1" ht="15.5" x14ac:dyDescent="0.35">
      <c r="A22" s="130" t="s">
        <v>122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</row>
    <row r="23" spans="1:17" s="1" customFormat="1" ht="15.5" x14ac:dyDescent="0.35">
      <c r="A23" s="1" t="s">
        <v>123</v>
      </c>
      <c r="C23" s="153">
        <f>'Financial Model'!C40/'Financial Model'!C57</f>
        <v>5</v>
      </c>
      <c r="D23" s="153">
        <f>'Financial Model'!D40/'Financial Model'!D57</f>
        <v>4.9999999999999991</v>
      </c>
      <c r="E23" s="153">
        <f>'Financial Model'!E40/'Financial Model'!E57</f>
        <v>5</v>
      </c>
      <c r="F23" s="153">
        <f>'Financial Model'!F40/'Financial Model'!F57</f>
        <v>4.9999999999999991</v>
      </c>
      <c r="G23" s="153">
        <f>'Financial Model'!G40/'Financial Model'!G57</f>
        <v>5</v>
      </c>
      <c r="H23" s="153">
        <f>'Financial Model'!H40/'Financial Model'!H57</f>
        <v>5.0136986301369868</v>
      </c>
      <c r="I23" s="153">
        <f>'Financial Model'!I40/'Financial Model'!I57</f>
        <v>5</v>
      </c>
      <c r="J23" s="153">
        <f>'Financial Model'!J40/'Financial Model'!J57</f>
        <v>5</v>
      </c>
      <c r="K23" s="153">
        <f>'Financial Model'!K40/'Financial Model'!K57</f>
        <v>5</v>
      </c>
      <c r="L23" s="153">
        <f>'Financial Model'!L40/'Financial Model'!L57</f>
        <v>5.0136986301369868</v>
      </c>
      <c r="M23" s="153">
        <f>'Financial Model'!M40/'Financial Model'!M57</f>
        <v>5</v>
      </c>
      <c r="N23" s="153">
        <f>'Financial Model'!N40/'Financial Model'!N57</f>
        <v>5</v>
      </c>
      <c r="O23" s="153">
        <f>'Financial Model'!O40/'Financial Model'!O57</f>
        <v>5</v>
      </c>
      <c r="P23" s="153">
        <f>'Financial Model'!P40/'Financial Model'!P57</f>
        <v>5.0136986301369859</v>
      </c>
      <c r="Q23" s="153">
        <f>'Financial Model'!Q40/'Financial Model'!Q57</f>
        <v>5.0000000000000009</v>
      </c>
    </row>
    <row r="24" spans="1:17" s="1" customFormat="1" ht="15.5" x14ac:dyDescent="0.35">
      <c r="A24" s="1" t="s">
        <v>20</v>
      </c>
      <c r="C24" s="153">
        <f>C20/C23</f>
        <v>73</v>
      </c>
      <c r="D24" s="153">
        <f t="shared" ref="D24:Q24" si="1">D20/D23</f>
        <v>73.200000000000017</v>
      </c>
      <c r="E24" s="153">
        <f t="shared" si="1"/>
        <v>73</v>
      </c>
      <c r="F24" s="153">
        <f t="shared" si="1"/>
        <v>73.000000000000014</v>
      </c>
      <c r="G24" s="153">
        <f t="shared" si="1"/>
        <v>73</v>
      </c>
      <c r="H24" s="153">
        <f t="shared" si="1"/>
        <v>72.999999999999986</v>
      </c>
      <c r="I24" s="153">
        <f t="shared" si="1"/>
        <v>73</v>
      </c>
      <c r="J24" s="153">
        <f t="shared" si="1"/>
        <v>73</v>
      </c>
      <c r="K24" s="153">
        <f t="shared" si="1"/>
        <v>73</v>
      </c>
      <c r="L24" s="153">
        <f t="shared" si="1"/>
        <v>72.999999999999986</v>
      </c>
      <c r="M24" s="153">
        <f t="shared" si="1"/>
        <v>73</v>
      </c>
      <c r="N24" s="153">
        <f t="shared" si="1"/>
        <v>73</v>
      </c>
      <c r="O24" s="153">
        <f t="shared" si="1"/>
        <v>73</v>
      </c>
      <c r="P24" s="153">
        <f t="shared" si="1"/>
        <v>73</v>
      </c>
      <c r="Q24" s="153">
        <f t="shared" si="1"/>
        <v>72.999999999999986</v>
      </c>
    </row>
    <row r="25" spans="1:17" s="1" customFormat="1" ht="15.5" x14ac:dyDescent="0.35">
      <c r="A25" s="1" t="s">
        <v>124</v>
      </c>
      <c r="C25" s="153">
        <f>'Financial Model'!C39/'Financial Model'!C56</f>
        <v>20</v>
      </c>
      <c r="D25" s="153">
        <f>'Financial Model'!D39/'Financial Model'!D56</f>
        <v>20</v>
      </c>
      <c r="E25" s="153">
        <f>'Financial Model'!E39/'Financial Model'!E56</f>
        <v>20</v>
      </c>
      <c r="F25" s="153">
        <f>'Financial Model'!F39/'Financial Model'!F56</f>
        <v>20</v>
      </c>
      <c r="G25" s="153">
        <f>'Financial Model'!G39/'Financial Model'!G56</f>
        <v>20</v>
      </c>
      <c r="H25" s="153">
        <f>'Financial Model'!H39/'Financial Model'!H56</f>
        <v>20.054794520547944</v>
      </c>
      <c r="I25" s="153">
        <f>'Financial Model'!I39/'Financial Model'!I56</f>
        <v>20</v>
      </c>
      <c r="J25" s="153">
        <f>'Financial Model'!J39/'Financial Model'!J56</f>
        <v>20</v>
      </c>
      <c r="K25" s="153">
        <f>'Financial Model'!K39/'Financial Model'!K56</f>
        <v>20</v>
      </c>
      <c r="L25" s="153">
        <f>'Financial Model'!L39/'Financial Model'!L56</f>
        <v>20.054794520547944</v>
      </c>
      <c r="M25" s="153">
        <f>'Financial Model'!M39/'Financial Model'!M56</f>
        <v>20.000000000000004</v>
      </c>
      <c r="N25" s="153">
        <f>'Financial Model'!N39/'Financial Model'!N56</f>
        <v>20</v>
      </c>
      <c r="O25" s="153">
        <f>'Financial Model'!O39/'Financial Model'!O56</f>
        <v>20</v>
      </c>
      <c r="P25" s="153">
        <f>'Financial Model'!P39/'Financial Model'!P56</f>
        <v>20.054794520547944</v>
      </c>
      <c r="Q25" s="153">
        <f>'Financial Model'!Q39/'Financial Model'!Q56</f>
        <v>20</v>
      </c>
    </row>
    <row r="26" spans="1:17" s="1" customFormat="1" ht="15.5" x14ac:dyDescent="0.35">
      <c r="A26" s="1" t="s">
        <v>21</v>
      </c>
      <c r="C26" s="153">
        <f>C20/C25</f>
        <v>18.25</v>
      </c>
      <c r="D26" s="153">
        <f t="shared" ref="D26:Q26" si="2">D20/D25</f>
        <v>18.3</v>
      </c>
      <c r="E26" s="153">
        <f t="shared" si="2"/>
        <v>18.25</v>
      </c>
      <c r="F26" s="153">
        <f t="shared" si="2"/>
        <v>18.25</v>
      </c>
      <c r="G26" s="153">
        <f t="shared" si="2"/>
        <v>18.25</v>
      </c>
      <c r="H26" s="153">
        <f t="shared" si="2"/>
        <v>18.25</v>
      </c>
      <c r="I26" s="153">
        <f t="shared" si="2"/>
        <v>18.25</v>
      </c>
      <c r="J26" s="153">
        <f t="shared" si="2"/>
        <v>18.25</v>
      </c>
      <c r="K26" s="153">
        <f t="shared" si="2"/>
        <v>18.25</v>
      </c>
      <c r="L26" s="153">
        <f t="shared" si="2"/>
        <v>18.25</v>
      </c>
      <c r="M26" s="153">
        <f t="shared" si="2"/>
        <v>18.249999999999996</v>
      </c>
      <c r="N26" s="153">
        <f t="shared" si="2"/>
        <v>18.25</v>
      </c>
      <c r="O26" s="153">
        <f t="shared" si="2"/>
        <v>18.25</v>
      </c>
      <c r="P26" s="153">
        <f t="shared" si="2"/>
        <v>18.25</v>
      </c>
      <c r="Q26" s="153">
        <f t="shared" si="2"/>
        <v>18.25</v>
      </c>
    </row>
    <row r="27" spans="1:17" s="1" customFormat="1" ht="15.5" x14ac:dyDescent="0.35">
      <c r="A27" s="1" t="s">
        <v>125</v>
      </c>
      <c r="C27" s="153">
        <f>'Financial Model'!C40/'Financial Model'!C62</f>
        <v>10</v>
      </c>
      <c r="D27" s="153">
        <f>'Financial Model'!D40/'Financial Model'!D62</f>
        <v>9.9999999999999982</v>
      </c>
      <c r="E27" s="153">
        <f>'Financial Model'!E40/'Financial Model'!E62</f>
        <v>10</v>
      </c>
      <c r="F27" s="153">
        <f>'Financial Model'!F40/'Financial Model'!F62</f>
        <v>9.9999999999999982</v>
      </c>
      <c r="G27" s="153">
        <f>'Financial Model'!G40/'Financial Model'!G62</f>
        <v>10</v>
      </c>
      <c r="H27" s="153">
        <f>'Financial Model'!H40/'Financial Model'!H62</f>
        <v>10.027397260273974</v>
      </c>
      <c r="I27" s="153">
        <f>'Financial Model'!I40/'Financial Model'!I62</f>
        <v>10</v>
      </c>
      <c r="J27" s="153">
        <f>'Financial Model'!J40/'Financial Model'!J62</f>
        <v>10</v>
      </c>
      <c r="K27" s="153">
        <f>'Financial Model'!K40/'Financial Model'!K62</f>
        <v>10</v>
      </c>
      <c r="L27" s="153">
        <f>'Financial Model'!L40/'Financial Model'!L62</f>
        <v>10.027397260273974</v>
      </c>
      <c r="M27" s="153">
        <f>'Financial Model'!M40/'Financial Model'!M62</f>
        <v>10</v>
      </c>
      <c r="N27" s="153">
        <f>'Financial Model'!N40/'Financial Model'!N62</f>
        <v>10</v>
      </c>
      <c r="O27" s="153">
        <f>'Financial Model'!O40/'Financial Model'!O62</f>
        <v>10</v>
      </c>
      <c r="P27" s="153">
        <f>'Financial Model'!P40/'Financial Model'!P62</f>
        <v>10.027397260273972</v>
      </c>
      <c r="Q27" s="153">
        <f>'Financial Model'!Q40/'Financial Model'!Q62</f>
        <v>10.000000000000002</v>
      </c>
    </row>
    <row r="28" spans="1:17" s="1" customFormat="1" ht="15.5" x14ac:dyDescent="0.35">
      <c r="A28" s="1" t="s">
        <v>22</v>
      </c>
      <c r="C28" s="153">
        <f>C20/C27</f>
        <v>36.5</v>
      </c>
      <c r="D28" s="153">
        <f t="shared" ref="D28:Q28" si="3">D20/D27</f>
        <v>36.600000000000009</v>
      </c>
      <c r="E28" s="153">
        <f t="shared" si="3"/>
        <v>36.5</v>
      </c>
      <c r="F28" s="153">
        <f t="shared" si="3"/>
        <v>36.500000000000007</v>
      </c>
      <c r="G28" s="153">
        <f t="shared" si="3"/>
        <v>36.5</v>
      </c>
      <c r="H28" s="153">
        <f t="shared" si="3"/>
        <v>36.499999999999993</v>
      </c>
      <c r="I28" s="153">
        <f t="shared" si="3"/>
        <v>36.5</v>
      </c>
      <c r="J28" s="153">
        <f t="shared" si="3"/>
        <v>36.5</v>
      </c>
      <c r="K28" s="153">
        <f t="shared" si="3"/>
        <v>36.5</v>
      </c>
      <c r="L28" s="153">
        <f t="shared" si="3"/>
        <v>36.499999999999993</v>
      </c>
      <c r="M28" s="153">
        <f t="shared" si="3"/>
        <v>36.5</v>
      </c>
      <c r="N28" s="153">
        <f t="shared" si="3"/>
        <v>36.5</v>
      </c>
      <c r="O28" s="153">
        <f t="shared" si="3"/>
        <v>36.5</v>
      </c>
      <c r="P28" s="153">
        <f t="shared" si="3"/>
        <v>36.5</v>
      </c>
      <c r="Q28" s="153">
        <f t="shared" si="3"/>
        <v>36.499999999999993</v>
      </c>
    </row>
    <row r="29" spans="1:17" s="1" customFormat="1" ht="15.5" x14ac:dyDescent="0.35">
      <c r="A29" s="1" t="s">
        <v>126</v>
      </c>
      <c r="C29" s="153">
        <f>'Financial Model'!C39/'Financial Model'!C58</f>
        <v>2.241912087912088</v>
      </c>
      <c r="D29" s="153">
        <f>'Financial Model'!D39/'Financial Model'!D58</f>
        <v>2.788335301062574</v>
      </c>
      <c r="E29" s="153">
        <f>'Financial Model'!E39/'Financial Model'!E58</f>
        <v>3.2717648524100138</v>
      </c>
      <c r="F29" s="153">
        <f>'Financial Model'!F39/'Financial Model'!F58</f>
        <v>3.687447378987863</v>
      </c>
      <c r="G29" s="153">
        <f>'Financial Model'!G39/'Financial Model'!G58</f>
        <v>4.0183310435075779</v>
      </c>
      <c r="H29" s="153">
        <f>'Financial Model'!H39/'Financial Model'!H58</f>
        <v>4.1397432086821571</v>
      </c>
      <c r="I29" s="153">
        <f>'Financial Model'!I39/'Financial Model'!I58</f>
        <v>4.2356172113033557</v>
      </c>
      <c r="J29" s="153">
        <f>'Financial Model'!J39/'Financial Model'!J58</f>
        <v>4.3149344332503343</v>
      </c>
      <c r="K29" s="153">
        <f>'Financial Model'!K39/'Financial Model'!K58</f>
        <v>4.3836622884056426</v>
      </c>
      <c r="L29" s="153">
        <f>'Financial Model'!L39/'Financial Model'!L58</f>
        <v>4.4456014161592456</v>
      </c>
      <c r="M29" s="153">
        <f>'Financial Model'!M39/'Financial Model'!M58</f>
        <v>4.5031060118330837</v>
      </c>
      <c r="N29" s="153">
        <f>'Financial Model'!N39/'Financial Model'!N58</f>
        <v>4.5350736072329827</v>
      </c>
      <c r="O29" s="153">
        <f>'Financial Model'!O39/'Financial Model'!O58</f>
        <v>4.552686029808731</v>
      </c>
      <c r="P29" s="153">
        <f>'Financial Model'!P39/'Financial Model'!P58</f>
        <v>4.5623415605260602</v>
      </c>
      <c r="Q29" s="153">
        <f>'Financial Model'!Q39/'Financial Model'!Q58</f>
        <v>4.5676205654394195</v>
      </c>
    </row>
    <row r="30" spans="1:17" s="1" customFormat="1" ht="15.5" x14ac:dyDescent="0.35"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</row>
    <row r="31" spans="1:17" s="1" customFormat="1" ht="15.5" x14ac:dyDescent="0.35">
      <c r="A31" s="130" t="s">
        <v>127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</row>
    <row r="32" spans="1:17" s="1" customFormat="1" ht="15.5" x14ac:dyDescent="0.35">
      <c r="A32" s="1" t="s">
        <v>128</v>
      </c>
      <c r="C32" s="152">
        <f>'Financial Model'!C63/'Financial Model'!C68</f>
        <v>0.689904211657137</v>
      </c>
      <c r="D32" s="152">
        <f>'Financial Model'!D63/'Financial Model'!D68</f>
        <v>0.59336889352675026</v>
      </c>
      <c r="E32" s="152">
        <f>'Financial Model'!E63/'Financial Model'!E68</f>
        <v>0.28479262467944216</v>
      </c>
      <c r="F32" s="152">
        <f>'Financial Model'!F63/'Financial Model'!F68</f>
        <v>0.22718101910293978</v>
      </c>
      <c r="G32" s="152">
        <f>'Financial Model'!G63/'Financial Model'!G68</f>
        <v>0.18717224926606654</v>
      </c>
      <c r="H32" s="152">
        <f>'Financial Model'!H63/'Financial Model'!H68</f>
        <v>0.14502399969519167</v>
      </c>
      <c r="I32" s="152">
        <f>'Financial Model'!I63/'Financial Model'!I68</f>
        <v>0.11588731279119219</v>
      </c>
      <c r="J32" s="152">
        <f>'Financial Model'!J63/'Financial Model'!J68</f>
        <v>9.492799811306242E-2</v>
      </c>
      <c r="K32" s="152">
        <f>'Financial Model'!K63/'Financial Model'!K68</f>
        <v>7.843871283977806E-2</v>
      </c>
      <c r="L32" s="152">
        <f>'Financial Model'!L63/'Financial Model'!L68</f>
        <v>6.5936155993396167E-2</v>
      </c>
      <c r="M32" s="152">
        <f>'Financial Model'!M63/'Financial Model'!M68</f>
        <v>5.6087559755353414E-2</v>
      </c>
      <c r="N32" s="152">
        <f>'Financial Model'!N63/'Financial Model'!N68</f>
        <v>4.8163487676259636E-2</v>
      </c>
      <c r="O32" s="152">
        <f>'Financial Model'!O63/'Financial Model'!O68</f>
        <v>4.1678364088265002E-2</v>
      </c>
      <c r="P32" s="152">
        <f>'Financial Model'!P63/'Financial Model'!P68</f>
        <v>3.6296402358601529E-2</v>
      </c>
      <c r="Q32" s="152">
        <f>'Financial Model'!Q63/'Financial Model'!Q68</f>
        <v>3.177796513810667E-2</v>
      </c>
    </row>
    <row r="33" spans="1:17" s="1" customFormat="1" ht="15.5" x14ac:dyDescent="0.35">
      <c r="A33" s="1" t="s">
        <v>129</v>
      </c>
      <c r="C33" s="152">
        <f>'Financial Model'!C63/('Financial Model'!C63+'Financial Model'!C68)</f>
        <v>0.40825048360617433</v>
      </c>
      <c r="D33" s="152">
        <f>'Financial Model'!D63/('Financial Model'!D63+'Financial Model'!D68)</f>
        <v>0.37239894410979252</v>
      </c>
      <c r="E33" s="152">
        <f>'Financial Model'!E63/('Financial Model'!E63+'Financial Model'!E68)</f>
        <v>0.22166427422518742</v>
      </c>
      <c r="F33" s="152">
        <f>'Financial Model'!F63/('Financial Model'!F63+'Financial Model'!F68)</f>
        <v>0.18512429345509876</v>
      </c>
      <c r="G33" s="152">
        <f>'Financial Model'!G63/('Financial Model'!G63+'Financial Model'!G68)</f>
        <v>0.15766225110280344</v>
      </c>
      <c r="H33" s="152">
        <f>'Financial Model'!H63/('Financial Model'!H63+'Financial Model'!H68)</f>
        <v>0.12665586025602732</v>
      </c>
      <c r="I33" s="152">
        <f>'Financial Model'!I63/('Financial Model'!I63+'Financial Model'!I68)</f>
        <v>0.10385216451768847</v>
      </c>
      <c r="J33" s="152">
        <f>'Financial Model'!J63/('Financial Model'!J63+'Financial Model'!J68)</f>
        <v>8.6697936555331506E-2</v>
      </c>
      <c r="K33" s="152">
        <f>'Financial Model'!K63/('Financial Model'!K63+'Financial Model'!K68)</f>
        <v>7.273358412109561E-2</v>
      </c>
      <c r="L33" s="152">
        <f>'Financial Model'!L63/('Financial Model'!L63+'Financial Model'!L68)</f>
        <v>6.1857509591601335E-2</v>
      </c>
      <c r="M33" s="152">
        <f>'Financial Model'!M63/('Financial Model'!M63+'Financial Model'!M68)</f>
        <v>5.3108815871617976E-2</v>
      </c>
      <c r="N33" s="152">
        <f>'Financial Model'!N63/('Financial Model'!N63+'Financial Model'!N68)</f>
        <v>4.5950358166965286E-2</v>
      </c>
      <c r="O33" s="152">
        <f>'Financial Model'!O63/('Financial Model'!O63+'Financial Model'!O68)</f>
        <v>4.0010780222688253E-2</v>
      </c>
      <c r="P33" s="152">
        <f>'Financial Model'!P63/('Financial Model'!P63+'Financial Model'!P68)</f>
        <v>3.5025116632646063E-2</v>
      </c>
      <c r="Q33" s="152">
        <f>'Financial Model'!Q63/('Financial Model'!Q63+'Financial Model'!Q68)</f>
        <v>3.0799228333833521E-2</v>
      </c>
    </row>
    <row r="34" spans="1:17" s="1" customFormat="1" ht="15.5" x14ac:dyDescent="0.35">
      <c r="A34" s="1" t="s">
        <v>130</v>
      </c>
      <c r="C34" s="152">
        <f>'Financial Model'!C64/'Financial Model'!C68</f>
        <v>0.74374847576012992</v>
      </c>
      <c r="D34" s="152">
        <f>'Financial Model'!D64/'Financial Model'!D68</f>
        <v>0.6503370542564666</v>
      </c>
      <c r="E34" s="152">
        <f>'Financial Model'!E64/'Financial Model'!E68</f>
        <v>0.331425518353203</v>
      </c>
      <c r="F34" s="152">
        <f>'Financial Model'!F64/'Financial Model'!F68</f>
        <v>0.26705431703576044</v>
      </c>
      <c r="G34" s="152">
        <f>'Financial Model'!G64/'Financial Model'!G68</f>
        <v>0.22255404345232865</v>
      </c>
      <c r="H34" s="152">
        <f>'Financial Model'!H64/'Financial Model'!H68</f>
        <v>0.17373044049168768</v>
      </c>
      <c r="I34" s="152">
        <f>'Financial Model'!I64/'Financial Model'!I68</f>
        <v>0.13987189854447785</v>
      </c>
      <c r="J34" s="152">
        <f>'Financial Model'!J64/'Financial Model'!J68</f>
        <v>0.11538185468551979</v>
      </c>
      <c r="K34" s="152">
        <f>'Financial Model'!K64/'Financial Model'!K68</f>
        <v>9.6184719547453862E-2</v>
      </c>
      <c r="L34" s="152">
        <f>'Financial Model'!L64/'Financial Model'!L68</f>
        <v>8.2151720962648583E-2</v>
      </c>
      <c r="M34" s="152">
        <f>'Financial Model'!M64/'Financial Model'!M68</f>
        <v>7.1301997633609435E-2</v>
      </c>
      <c r="N34" s="152">
        <f>'Financial Model'!N64/'Financial Model'!N68</f>
        <v>6.2534917524368266E-2</v>
      </c>
      <c r="O34" s="152">
        <f>'Financial Model'!O64/'Financial Model'!O68</f>
        <v>5.5358342138754915E-2</v>
      </c>
      <c r="P34" s="152">
        <f>'Financial Model'!P64/'Financial Model'!P68</f>
        <v>4.9365415094284111E-2</v>
      </c>
      <c r="Q34" s="152">
        <f>'Financial Model'!Q64/'Financial Model'!Q68</f>
        <v>4.4398744980522077E-2</v>
      </c>
    </row>
    <row r="35" spans="1:17" s="1" customFormat="1" ht="15.5" x14ac:dyDescent="0.35">
      <c r="A35" s="1" t="s">
        <v>131</v>
      </c>
      <c r="C35" s="152">
        <f>'Financial Model'!C59/'Financial Model'!C68</f>
        <v>1.74374847576013</v>
      </c>
      <c r="D35" s="152">
        <f>'Financial Model'!D59/'Financial Model'!D68</f>
        <v>1.6503370542564666</v>
      </c>
      <c r="E35" s="152">
        <f>'Financial Model'!E59/'Financial Model'!E68</f>
        <v>1.3314255183532031</v>
      </c>
      <c r="F35" s="152">
        <f>'Financial Model'!F59/'Financial Model'!F68</f>
        <v>1.2670543170357607</v>
      </c>
      <c r="G35" s="152">
        <f>'Financial Model'!G59/'Financial Model'!G68</f>
        <v>1.2225540434523288</v>
      </c>
      <c r="H35" s="152">
        <f>'Financial Model'!H59/'Financial Model'!H68</f>
        <v>1.1737304404916877</v>
      </c>
      <c r="I35" s="152">
        <f>'Financial Model'!I59/'Financial Model'!I68</f>
        <v>1.1398718985444778</v>
      </c>
      <c r="J35" s="152">
        <f>'Financial Model'!J59/'Financial Model'!J68</f>
        <v>1.1153818546855201</v>
      </c>
      <c r="K35" s="152">
        <f>'Financial Model'!K59/'Financial Model'!K68</f>
        <v>1.0961847195474539</v>
      </c>
      <c r="L35" s="152">
        <f>'Financial Model'!L59/'Financial Model'!L68</f>
        <v>1.0821517209626483</v>
      </c>
      <c r="M35" s="152">
        <f>'Financial Model'!M59/'Financial Model'!M68</f>
        <v>1.0713019976336093</v>
      </c>
      <c r="N35" s="152">
        <f>'Financial Model'!N59/'Financial Model'!N68</f>
        <v>1.0625349175243679</v>
      </c>
      <c r="O35" s="152">
        <f>'Financial Model'!O59/'Financial Model'!O68</f>
        <v>1.0553583421387549</v>
      </c>
      <c r="P35" s="152">
        <f>'Financial Model'!P59/'Financial Model'!P68</f>
        <v>1.0493654150942842</v>
      </c>
      <c r="Q35" s="152">
        <f>'Financial Model'!Q59/'Financial Model'!Q68</f>
        <v>1.0443987449805221</v>
      </c>
    </row>
    <row r="36" spans="1:17" s="1" customFormat="1" ht="15.5" x14ac:dyDescent="0.35">
      <c r="A36" s="1" t="s">
        <v>132</v>
      </c>
      <c r="C36" s="155">
        <f>'Financial Model'!C63/'Financial Model'!C120</f>
        <v>1.1087949616356942</v>
      </c>
      <c r="D36" s="155">
        <f>'Financial Model'!D63/'Financial Model'!D120</f>
        <v>0.90172951721401651</v>
      </c>
      <c r="E36" s="155">
        <f>'Financial Model'!E63/'Financial Model'!E120</f>
        <v>0.45823913973238833</v>
      </c>
      <c r="F36" s="155">
        <f>'Financial Model'!F63/'Financial Model'!F120</f>
        <v>0.41546355345977276</v>
      </c>
      <c r="G36" s="155">
        <f>'Financial Model'!G63/'Financial Model'!G120</f>
        <v>0.40824408097113102</v>
      </c>
      <c r="H36" s="155">
        <f>'Financial Model'!H63/'Financial Model'!H120</f>
        <v>0.39838175933805098</v>
      </c>
      <c r="I36" s="155">
        <f>'Financial Model'!I63/'Financial Model'!I120</f>
        <v>0.363893343126587</v>
      </c>
      <c r="J36" s="155">
        <f>'Financial Model'!J63/'Financial Model'!J120</f>
        <v>0.33524232010872329</v>
      </c>
      <c r="K36" s="155">
        <f>'Financial Model'!K63/'Financial Model'!K120</f>
        <v>0.29413700085005956</v>
      </c>
      <c r="L36" s="155">
        <f>'Financial Model'!L63/'Financial Model'!L120</f>
        <v>0.27094454214897817</v>
      </c>
      <c r="M36" s="155">
        <f>'Financial Model'!M63/'Financial Model'!M120</f>
        <v>0.2472191016164999</v>
      </c>
      <c r="N36" s="155">
        <f>'Financial Model'!N63/'Financial Model'!N120</f>
        <v>0.22519597164965574</v>
      </c>
      <c r="O36" s="155">
        <f>'Financial Model'!O63/'Financial Model'!O120</f>
        <v>0.20494789836553645</v>
      </c>
      <c r="P36" s="155">
        <f>'Financial Model'!P63/'Financial Model'!P120</f>
        <v>0.18642757284281999</v>
      </c>
      <c r="Q36" s="155">
        <f>'Financial Model'!Q63/'Financial Model'!Q120</f>
        <v>0.16953480201788529</v>
      </c>
    </row>
    <row r="37" spans="1:17" s="1" customFormat="1" ht="15.5" x14ac:dyDescent="0.35"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</row>
    <row r="38" spans="1:17" s="1" customFormat="1" ht="15.5" x14ac:dyDescent="0.35">
      <c r="A38" s="130" t="s">
        <v>133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</row>
    <row r="39" spans="1:17" s="1" customFormat="1" ht="15.5" x14ac:dyDescent="0.35">
      <c r="A39" s="1" t="s">
        <v>134</v>
      </c>
      <c r="C39" s="152">
        <f>'Financial Model'!C50/'Financial Model'!C68</f>
        <v>0.30319674622629156</v>
      </c>
      <c r="D39" s="152">
        <f>'Financial Model'!D50/'Financial Model'!D68</f>
        <v>0.3553185915091967</v>
      </c>
      <c r="E39" s="152">
        <f>'Financial Model'!E50/'Financial Model'!E68</f>
        <v>0.36339722965948279</v>
      </c>
      <c r="F39" s="152">
        <f>'Financial Model'!F50/'Financial Model'!F68</f>
        <v>0.32757215259649569</v>
      </c>
      <c r="G39" s="152">
        <f>'Financial Model'!G50/'Financial Model'!G68</f>
        <v>0.27643678352493478</v>
      </c>
      <c r="H39" s="152">
        <f>'Financial Model'!H50/'Financial Model'!H68</f>
        <v>0.22518428739380547</v>
      </c>
      <c r="I39" s="152">
        <f>'Financial Model'!I50/'Financial Model'!I68</f>
        <v>0.20090941475368446</v>
      </c>
      <c r="J39" s="152">
        <f>'Financial Model'!J50/'Financial Model'!J68</f>
        <v>0.18085944158438322</v>
      </c>
      <c r="K39" s="152">
        <f>'Financial Model'!K50/'Financial Model'!K68</f>
        <v>0.17370307602658025</v>
      </c>
      <c r="L39" s="152">
        <f>'Financial Model'!L50/'Financial Model'!L68</f>
        <v>0.1593926824362876</v>
      </c>
      <c r="M39" s="152">
        <f>'Financial Model'!M50/'Financial Model'!M68</f>
        <v>0.14936564150068335</v>
      </c>
      <c r="N39" s="152">
        <f>'Financial Model'!N50/'Financial Model'!N68</f>
        <v>0.14128038576927818</v>
      </c>
      <c r="O39" s="152">
        <f>'Financial Model'!O50/'Financial Model'!O68</f>
        <v>0.13464813079122653</v>
      </c>
      <c r="P39" s="152">
        <f>'Financial Model'!P50/'Financial Model'!P68</f>
        <v>0.12913082956580885</v>
      </c>
      <c r="Q39" s="152">
        <f>'Financial Model'!Q50/'Financial Model'!Q68</f>
        <v>0.1244871923077544</v>
      </c>
    </row>
    <row r="40" spans="1:17" s="1" customFormat="1" ht="15.5" x14ac:dyDescent="0.35">
      <c r="A40" s="1" t="s">
        <v>135</v>
      </c>
      <c r="C40" s="152">
        <f>'Financial Model'!C50/'Financial Model'!C59</f>
        <v>0.17387642222547195</v>
      </c>
      <c r="D40" s="152">
        <f>'Financial Model'!D50/'Financial Model'!D59</f>
        <v>0.21530062031436353</v>
      </c>
      <c r="E40" s="152">
        <f>'Financial Model'!E50/'Financial Model'!E59</f>
        <v>0.27293845930559979</v>
      </c>
      <c r="F40" s="152">
        <f>'Financial Model'!F50/'Financial Model'!F59</f>
        <v>0.25853047354973852</v>
      </c>
      <c r="G40" s="152">
        <f>'Financial Model'!G50/'Financial Model'!G59</f>
        <v>0.22611416240080021</v>
      </c>
      <c r="H40" s="152">
        <f>'Financial Model'!H50/'Financial Model'!H59</f>
        <v>0.19185349516833991</v>
      </c>
      <c r="I40" s="152">
        <f>'Financial Model'!I50/'Financial Model'!I59</f>
        <v>0.17625613457988498</v>
      </c>
      <c r="J40" s="152">
        <f>'Financial Model'!J50/'Financial Model'!J59</f>
        <v>0.16215024551872079</v>
      </c>
      <c r="K40" s="152">
        <f>'Financial Model'!K50/'Financial Model'!K59</f>
        <v>0.15846150099436837</v>
      </c>
      <c r="L40" s="152">
        <f>'Financial Model'!L50/'Financial Model'!L59</f>
        <v>0.14729236145787103</v>
      </c>
      <c r="M40" s="152">
        <f>'Financial Model'!M50/'Financial Model'!M59</f>
        <v>0.13942440304472126</v>
      </c>
      <c r="N40" s="152">
        <f>'Financial Model'!N50/'Financial Model'!N59</f>
        <v>0.13296540512612198</v>
      </c>
      <c r="O40" s="152">
        <f>'Financial Model'!O50/'Financial Model'!O59</f>
        <v>0.1275852242929667</v>
      </c>
      <c r="P40" s="152">
        <f>'Financial Model'!P50/'Financial Model'!P59</f>
        <v>0.12305611344567384</v>
      </c>
      <c r="Q40" s="152">
        <f>'Financial Model'!Q50/'Financial Model'!Q59</f>
        <v>0.11919508033311173</v>
      </c>
    </row>
    <row r="41" spans="1:17" x14ac:dyDescent="0.3"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</row>
  </sheetData>
  <sheetProtection algorithmName="SHA-512" hashValue="RcyK0JohHKawsfambR/x7numauReV26bRlxozzWpvAhkC0uKvFiJaADV8BsnBZywTKmOwxO/rMjmkovxIcuwag==" saltValue="wUEIBB8atqXePaSW3A6mSw==" spinCount="100000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3</xdr:col>
                    <xdr:colOff>209550</xdr:colOff>
                    <xdr:row>0</xdr:row>
                    <xdr:rowOff>95250</xdr:rowOff>
                  </from>
                  <to>
                    <xdr:col>4</xdr:col>
                    <xdr:colOff>546100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C6ED-2597-4306-842D-FCD5796C93B4}">
  <dimension ref="A1:Q116"/>
  <sheetViews>
    <sheetView showGridLines="0" zoomScale="75" zoomScaleNormal="75" workbookViewId="0">
      <pane ySplit="4" topLeftCell="A5" activePane="bottomLeft" state="frozen"/>
      <selection activeCell="D17" sqref="D17"/>
      <selection pane="bottomLeft" activeCell="D17" sqref="D17"/>
    </sheetView>
  </sheetViews>
  <sheetFormatPr defaultRowHeight="14" x14ac:dyDescent="0.3"/>
  <cols>
    <col min="1" max="1" width="40.69921875" customWidth="1"/>
    <col min="3" max="17" width="11.69921875" customWidth="1"/>
  </cols>
  <sheetData>
    <row r="1" spans="1:1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3">
      <c r="A2" s="22" t="s">
        <v>4</v>
      </c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20" x14ac:dyDescent="0.4">
      <c r="A3" s="23" t="s">
        <v>91</v>
      </c>
      <c r="B3" s="23"/>
      <c r="C3" s="24" t="s">
        <v>88</v>
      </c>
      <c r="D3" s="21"/>
      <c r="E3" s="21"/>
      <c r="F3" s="21"/>
      <c r="G3" s="21"/>
      <c r="H3" s="22" t="s">
        <v>89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3">
      <c r="A4" s="21"/>
      <c r="B4" s="21"/>
      <c r="C4" s="72">
        <v>2015</v>
      </c>
      <c r="D4" s="72">
        <f t="shared" ref="D4:I4" si="0">C4+1</f>
        <v>2016</v>
      </c>
      <c r="E4" s="72">
        <f t="shared" si="0"/>
        <v>2017</v>
      </c>
      <c r="F4" s="72">
        <f t="shared" si="0"/>
        <v>2018</v>
      </c>
      <c r="G4" s="72">
        <f t="shared" si="0"/>
        <v>2019</v>
      </c>
      <c r="H4" s="72">
        <f t="shared" si="0"/>
        <v>2020</v>
      </c>
      <c r="I4" s="72">
        <f t="shared" si="0"/>
        <v>2021</v>
      </c>
      <c r="J4" s="72">
        <f t="shared" ref="J4:Q4" si="1">I4+1</f>
        <v>2022</v>
      </c>
      <c r="K4" s="72">
        <f t="shared" si="1"/>
        <v>2023</v>
      </c>
      <c r="L4" s="72">
        <f t="shared" si="1"/>
        <v>2024</v>
      </c>
      <c r="M4" s="72">
        <f t="shared" si="1"/>
        <v>2025</v>
      </c>
      <c r="N4" s="72">
        <f t="shared" si="1"/>
        <v>2026</v>
      </c>
      <c r="O4" s="72">
        <f t="shared" si="1"/>
        <v>2027</v>
      </c>
      <c r="P4" s="72">
        <f t="shared" si="1"/>
        <v>2028</v>
      </c>
      <c r="Q4" s="72">
        <f t="shared" si="1"/>
        <v>2029</v>
      </c>
    </row>
    <row r="6" spans="1:17" x14ac:dyDescent="0.3">
      <c r="A6" s="34" t="s">
        <v>5</v>
      </c>
      <c r="B6" s="34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</row>
    <row r="8" spans="1:17" x14ac:dyDescent="0.3">
      <c r="A8" s="25" t="s">
        <v>6</v>
      </c>
      <c r="B8" s="25"/>
      <c r="C8" s="26"/>
    </row>
    <row r="9" spans="1:17" x14ac:dyDescent="0.3">
      <c r="A9" t="s">
        <v>7</v>
      </c>
      <c r="C9" s="27">
        <v>42005</v>
      </c>
      <c r="D9" s="28">
        <f>DATE(YEAR(C9)+1,MONTH(C9),DAY(C9))</f>
        <v>42370</v>
      </c>
      <c r="E9" s="28">
        <f t="shared" ref="E9:Q10" si="2">DATE(YEAR(D9)+1,MONTH(D9),DAY(D9))</f>
        <v>42736</v>
      </c>
      <c r="F9" s="28">
        <f t="shared" si="2"/>
        <v>43101</v>
      </c>
      <c r="G9" s="28">
        <f t="shared" si="2"/>
        <v>43466</v>
      </c>
      <c r="H9" s="28">
        <f t="shared" si="2"/>
        <v>43831</v>
      </c>
      <c r="I9" s="28">
        <f t="shared" si="2"/>
        <v>44197</v>
      </c>
      <c r="J9" s="28">
        <f t="shared" si="2"/>
        <v>44562</v>
      </c>
      <c r="K9" s="28">
        <f t="shared" si="2"/>
        <v>44927</v>
      </c>
      <c r="L9" s="28">
        <f t="shared" si="2"/>
        <v>45292</v>
      </c>
      <c r="M9" s="28">
        <f t="shared" si="2"/>
        <v>45658</v>
      </c>
      <c r="N9" s="28">
        <f t="shared" si="2"/>
        <v>46023</v>
      </c>
      <c r="O9" s="28">
        <f t="shared" si="2"/>
        <v>46388</v>
      </c>
      <c r="P9" s="28">
        <f t="shared" si="2"/>
        <v>46753</v>
      </c>
      <c r="Q9" s="28">
        <f t="shared" si="2"/>
        <v>47119</v>
      </c>
    </row>
    <row r="10" spans="1:17" x14ac:dyDescent="0.3">
      <c r="A10" t="s">
        <v>8</v>
      </c>
      <c r="C10" s="27">
        <v>42369</v>
      </c>
      <c r="D10" s="28">
        <f>DATE(YEAR(C10)+1,MONTH(C10),DAY(C10))</f>
        <v>42735</v>
      </c>
      <c r="E10" s="28">
        <f t="shared" si="2"/>
        <v>43100</v>
      </c>
      <c r="F10" s="28">
        <f t="shared" si="2"/>
        <v>43465</v>
      </c>
      <c r="G10" s="28">
        <f t="shared" si="2"/>
        <v>43830</v>
      </c>
      <c r="H10" s="28">
        <f t="shared" si="2"/>
        <v>44196</v>
      </c>
      <c r="I10" s="28">
        <f t="shared" si="2"/>
        <v>44561</v>
      </c>
      <c r="J10" s="28">
        <f t="shared" si="2"/>
        <v>44926</v>
      </c>
      <c r="K10" s="28">
        <f t="shared" si="2"/>
        <v>45291</v>
      </c>
      <c r="L10" s="28">
        <f t="shared" si="2"/>
        <v>45657</v>
      </c>
      <c r="M10" s="28">
        <f t="shared" si="2"/>
        <v>46022</v>
      </c>
      <c r="N10" s="28">
        <f t="shared" si="2"/>
        <v>46387</v>
      </c>
      <c r="O10" s="28">
        <f t="shared" si="2"/>
        <v>46752</v>
      </c>
      <c r="P10" s="28">
        <f t="shared" si="2"/>
        <v>47118</v>
      </c>
      <c r="Q10" s="28">
        <f t="shared" si="2"/>
        <v>47483</v>
      </c>
    </row>
    <row r="11" spans="1:17" x14ac:dyDescent="0.3">
      <c r="A11" t="s">
        <v>9</v>
      </c>
      <c r="C11">
        <f>C10-C9+1</f>
        <v>365</v>
      </c>
      <c r="D11">
        <f t="shared" ref="D11:Q11" si="3">D10-D9+1</f>
        <v>366</v>
      </c>
      <c r="E11">
        <f t="shared" si="3"/>
        <v>365</v>
      </c>
      <c r="F11">
        <f t="shared" si="3"/>
        <v>365</v>
      </c>
      <c r="G11">
        <f t="shared" si="3"/>
        <v>365</v>
      </c>
      <c r="H11">
        <f t="shared" si="3"/>
        <v>366</v>
      </c>
      <c r="I11">
        <f t="shared" si="3"/>
        <v>365</v>
      </c>
      <c r="J11">
        <f t="shared" si="3"/>
        <v>365</v>
      </c>
      <c r="K11">
        <f t="shared" si="3"/>
        <v>365</v>
      </c>
      <c r="L11">
        <f t="shared" si="3"/>
        <v>366</v>
      </c>
      <c r="M11">
        <f t="shared" si="3"/>
        <v>365</v>
      </c>
      <c r="N11">
        <f t="shared" si="3"/>
        <v>365</v>
      </c>
      <c r="O11">
        <f t="shared" si="3"/>
        <v>365</v>
      </c>
      <c r="P11">
        <f t="shared" si="3"/>
        <v>366</v>
      </c>
      <c r="Q11">
        <f t="shared" si="3"/>
        <v>365</v>
      </c>
    </row>
    <row r="14" spans="1:17" x14ac:dyDescent="0.3">
      <c r="C14" s="25" t="s">
        <v>83</v>
      </c>
    </row>
    <row r="16" spans="1:17" x14ac:dyDescent="0.3">
      <c r="C16" s="25" t="s">
        <v>79</v>
      </c>
      <c r="D16" s="25" t="s">
        <v>80</v>
      </c>
      <c r="E16" s="25"/>
      <c r="F16" s="25"/>
      <c r="G16" s="25"/>
      <c r="H16" s="25" t="s">
        <v>81</v>
      </c>
      <c r="J16" s="25" t="s">
        <v>82</v>
      </c>
    </row>
    <row r="17" spans="1:17" x14ac:dyDescent="0.3">
      <c r="C17" s="60" t="s">
        <v>138</v>
      </c>
      <c r="D17" s="29"/>
      <c r="E17" s="29"/>
      <c r="F17" s="29"/>
      <c r="G17" s="29"/>
      <c r="H17" s="60">
        <v>1</v>
      </c>
      <c r="J17" s="29" t="s">
        <v>81</v>
      </c>
      <c r="K17" s="61">
        <v>1</v>
      </c>
    </row>
    <row r="18" spans="1:17" x14ac:dyDescent="0.3">
      <c r="C18" s="62" t="s">
        <v>139</v>
      </c>
      <c r="H18" s="62">
        <v>2</v>
      </c>
      <c r="K18" s="63"/>
    </row>
    <row r="19" spans="1:17" x14ac:dyDescent="0.3">
      <c r="C19" s="62" t="s">
        <v>140</v>
      </c>
      <c r="H19" s="62">
        <v>3</v>
      </c>
    </row>
    <row r="22" spans="1:17" x14ac:dyDescent="0.3">
      <c r="A22" s="34" t="s">
        <v>84</v>
      </c>
      <c r="B22" s="34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</row>
    <row r="23" spans="1:17" x14ac:dyDescent="0.3">
      <c r="A23" s="25" t="s">
        <v>10</v>
      </c>
      <c r="H23" s="55">
        <f>CHOOSE($K$17,H47,H71,H95)</f>
        <v>0.05</v>
      </c>
      <c r="I23" s="55">
        <f t="shared" ref="I23:Q23" si="4">CHOOSE($K$17,I47,I71,I95)</f>
        <v>0.06</v>
      </c>
      <c r="J23" s="55">
        <f t="shared" si="4"/>
        <v>7.0000000000000007E-2</v>
      </c>
      <c r="K23" s="55">
        <f t="shared" si="4"/>
        <v>0.08</v>
      </c>
      <c r="L23" s="55">
        <f t="shared" si="4"/>
        <v>0.09</v>
      </c>
      <c r="M23" s="55">
        <f t="shared" si="4"/>
        <v>0.1</v>
      </c>
      <c r="N23" s="55">
        <f t="shared" si="4"/>
        <v>0.1</v>
      </c>
      <c r="O23" s="55">
        <f t="shared" si="4"/>
        <v>0.1</v>
      </c>
      <c r="P23" s="55">
        <f t="shared" si="4"/>
        <v>0.1</v>
      </c>
      <c r="Q23" s="55">
        <f t="shared" si="4"/>
        <v>0.1</v>
      </c>
    </row>
    <row r="24" spans="1:17" x14ac:dyDescent="0.3"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1:17" x14ac:dyDescent="0.3">
      <c r="A25" s="31" t="s">
        <v>11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</row>
    <row r="26" spans="1:17" x14ac:dyDescent="0.3">
      <c r="A26" t="s">
        <v>12</v>
      </c>
      <c r="H26" s="55">
        <f t="shared" ref="H26:Q26" si="5">CHOOSE($K$17,H50,H74,H98)</f>
        <v>0.37613084657628737</v>
      </c>
      <c r="I26" s="55">
        <f t="shared" si="5"/>
        <v>0.37</v>
      </c>
      <c r="J26" s="55">
        <f t="shared" si="5"/>
        <v>0.36</v>
      </c>
      <c r="K26" s="55">
        <f t="shared" si="5"/>
        <v>0.35</v>
      </c>
      <c r="L26" s="55">
        <f t="shared" si="5"/>
        <v>0.35</v>
      </c>
      <c r="M26" s="55">
        <f t="shared" si="5"/>
        <v>0.35</v>
      </c>
      <c r="N26" s="55">
        <f t="shared" si="5"/>
        <v>0.35</v>
      </c>
      <c r="O26" s="55">
        <f t="shared" si="5"/>
        <v>0.35</v>
      </c>
      <c r="P26" s="55">
        <f t="shared" si="5"/>
        <v>0.35</v>
      </c>
      <c r="Q26" s="55">
        <f t="shared" si="5"/>
        <v>0.35</v>
      </c>
    </row>
    <row r="27" spans="1:17" x14ac:dyDescent="0.3">
      <c r="A27" t="s">
        <v>13</v>
      </c>
      <c r="H27" s="55">
        <f t="shared" ref="H27:Q27" si="6">CHOOSE($K$17,H51,H75,H99)</f>
        <v>0.16743825113416283</v>
      </c>
      <c r="I27" s="55">
        <f t="shared" si="6"/>
        <v>0.16</v>
      </c>
      <c r="J27" s="55">
        <f t="shared" si="6"/>
        <v>0.16</v>
      </c>
      <c r="K27" s="55">
        <f t="shared" si="6"/>
        <v>0.15</v>
      </c>
      <c r="L27" s="55">
        <f t="shared" si="6"/>
        <v>0.15</v>
      </c>
      <c r="M27" s="55">
        <f t="shared" si="6"/>
        <v>0.15</v>
      </c>
      <c r="N27" s="55">
        <f t="shared" si="6"/>
        <v>0.15</v>
      </c>
      <c r="O27" s="55">
        <f t="shared" si="6"/>
        <v>0.15</v>
      </c>
      <c r="P27" s="55">
        <f t="shared" si="6"/>
        <v>0.15</v>
      </c>
      <c r="Q27" s="55">
        <f t="shared" si="6"/>
        <v>0.15</v>
      </c>
    </row>
    <row r="28" spans="1:17" x14ac:dyDescent="0.3">
      <c r="A28" t="s">
        <v>14</v>
      </c>
      <c r="H28" s="55">
        <f t="shared" ref="H28:Q28" si="7">CHOOSE($K$17,H52,H76,H100)</f>
        <v>7.5690446502003031E-2</v>
      </c>
      <c r="I28" s="55">
        <f t="shared" si="7"/>
        <v>7.0000000000000007E-2</v>
      </c>
      <c r="J28" s="55">
        <f t="shared" si="7"/>
        <v>7.0000000000000007E-2</v>
      </c>
      <c r="K28" s="55">
        <f t="shared" si="7"/>
        <v>0.06</v>
      </c>
      <c r="L28" s="55">
        <f t="shared" si="7"/>
        <v>0.06</v>
      </c>
      <c r="M28" s="55">
        <f t="shared" si="7"/>
        <v>0.06</v>
      </c>
      <c r="N28" s="55">
        <f t="shared" si="7"/>
        <v>0.06</v>
      </c>
      <c r="O28" s="55">
        <f t="shared" si="7"/>
        <v>0.06</v>
      </c>
      <c r="P28" s="55">
        <f t="shared" si="7"/>
        <v>0.06</v>
      </c>
      <c r="Q28" s="55">
        <f t="shared" si="7"/>
        <v>0.06</v>
      </c>
    </row>
    <row r="29" spans="1:17" x14ac:dyDescent="0.3">
      <c r="A29" s="33" t="s">
        <v>17</v>
      </c>
      <c r="B29" s="29"/>
      <c r="C29" s="29"/>
      <c r="D29" s="29"/>
      <c r="E29" s="29"/>
      <c r="F29" s="29"/>
      <c r="G29" s="29"/>
      <c r="H29" s="57">
        <f>SUM(H26:H28)</f>
        <v>0.61925954421245322</v>
      </c>
      <c r="I29" s="57">
        <f t="shared" ref="I29:Q29" si="8">SUM(I26:I28)</f>
        <v>0.60000000000000009</v>
      </c>
      <c r="J29" s="57">
        <f t="shared" si="8"/>
        <v>0.59000000000000008</v>
      </c>
      <c r="K29" s="57">
        <f t="shared" si="8"/>
        <v>0.56000000000000005</v>
      </c>
      <c r="L29" s="57">
        <f t="shared" si="8"/>
        <v>0.56000000000000005</v>
      </c>
      <c r="M29" s="57">
        <f t="shared" si="8"/>
        <v>0.56000000000000005</v>
      </c>
      <c r="N29" s="57">
        <f t="shared" si="8"/>
        <v>0.56000000000000005</v>
      </c>
      <c r="O29" s="57">
        <f t="shared" si="8"/>
        <v>0.56000000000000005</v>
      </c>
      <c r="P29" s="57">
        <f t="shared" si="8"/>
        <v>0.56000000000000005</v>
      </c>
      <c r="Q29" s="57">
        <f t="shared" si="8"/>
        <v>0.56000000000000005</v>
      </c>
    </row>
    <row r="30" spans="1:17" x14ac:dyDescent="0.3"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7" x14ac:dyDescent="0.3">
      <c r="A31" s="32" t="s">
        <v>16</v>
      </c>
      <c r="H31" s="55">
        <f t="shared" ref="H31:Q31" si="9">CHOOSE($K$17,H55,H79,H103)</f>
        <v>0.20745309438189283</v>
      </c>
      <c r="I31" s="55">
        <f t="shared" si="9"/>
        <v>0.20745309438189283</v>
      </c>
      <c r="J31" s="55">
        <f t="shared" si="9"/>
        <v>0.20745309438189283</v>
      </c>
      <c r="K31" s="55">
        <f t="shared" si="9"/>
        <v>0.20745309438189283</v>
      </c>
      <c r="L31" s="55">
        <f t="shared" si="9"/>
        <v>0.20745309438189283</v>
      </c>
      <c r="M31" s="55">
        <f t="shared" si="9"/>
        <v>0.20745309438189283</v>
      </c>
      <c r="N31" s="55">
        <f t="shared" si="9"/>
        <v>0.20745309438189283</v>
      </c>
      <c r="O31" s="55">
        <f t="shared" si="9"/>
        <v>0.20745309438189283</v>
      </c>
      <c r="P31" s="55">
        <f t="shared" si="9"/>
        <v>0.20745309438189283</v>
      </c>
      <c r="Q31" s="55">
        <f t="shared" si="9"/>
        <v>0.20745309438189283</v>
      </c>
    </row>
    <row r="32" spans="1:17" x14ac:dyDescent="0.3">
      <c r="A32" s="32" t="s">
        <v>18</v>
      </c>
      <c r="H32" s="55">
        <f t="shared" ref="H32:Q32" si="10">CHOOSE($K$17,H56,H80,H104)</f>
        <v>0.05</v>
      </c>
      <c r="I32" s="55">
        <f t="shared" si="10"/>
        <v>0.05</v>
      </c>
      <c r="J32" s="55">
        <f t="shared" si="10"/>
        <v>0.05</v>
      </c>
      <c r="K32" s="55">
        <f t="shared" si="10"/>
        <v>0.05</v>
      </c>
      <c r="L32" s="55">
        <f t="shared" si="10"/>
        <v>0.05</v>
      </c>
      <c r="M32" s="55">
        <f t="shared" si="10"/>
        <v>0.05</v>
      </c>
      <c r="N32" s="55">
        <f t="shared" si="10"/>
        <v>0.05</v>
      </c>
      <c r="O32" s="55">
        <f t="shared" si="10"/>
        <v>0.05</v>
      </c>
      <c r="P32" s="55">
        <f t="shared" si="10"/>
        <v>0.05</v>
      </c>
      <c r="Q32" s="55">
        <f t="shared" si="10"/>
        <v>0.05</v>
      </c>
    </row>
    <row r="34" spans="1:17" x14ac:dyDescent="0.3">
      <c r="A34" s="31" t="s">
        <v>19</v>
      </c>
    </row>
    <row r="35" spans="1:17" x14ac:dyDescent="0.3">
      <c r="A35" s="32" t="s">
        <v>20</v>
      </c>
      <c r="H35" s="59">
        <f t="shared" ref="H35:Q35" si="11">CHOOSE($K$17,H59,H83,H107)</f>
        <v>73</v>
      </c>
      <c r="I35" s="59">
        <f t="shared" si="11"/>
        <v>73</v>
      </c>
      <c r="J35" s="59">
        <f t="shared" si="11"/>
        <v>73</v>
      </c>
      <c r="K35" s="59">
        <f t="shared" si="11"/>
        <v>73</v>
      </c>
      <c r="L35" s="59">
        <f t="shared" si="11"/>
        <v>73</v>
      </c>
      <c r="M35" s="59">
        <f t="shared" si="11"/>
        <v>73</v>
      </c>
      <c r="N35" s="59">
        <f t="shared" si="11"/>
        <v>73</v>
      </c>
      <c r="O35" s="59">
        <f t="shared" si="11"/>
        <v>73</v>
      </c>
      <c r="P35" s="59">
        <f t="shared" si="11"/>
        <v>73</v>
      </c>
      <c r="Q35" s="59">
        <f t="shared" si="11"/>
        <v>73</v>
      </c>
    </row>
    <row r="36" spans="1:17" x14ac:dyDescent="0.3">
      <c r="A36" s="32" t="s">
        <v>21</v>
      </c>
      <c r="H36" s="59">
        <f t="shared" ref="H36:Q36" si="12">CHOOSE($K$17,H60,H84,H108)</f>
        <v>18.25</v>
      </c>
      <c r="I36" s="59">
        <f t="shared" si="12"/>
        <v>18.25</v>
      </c>
      <c r="J36" s="59">
        <f t="shared" si="12"/>
        <v>18.25</v>
      </c>
      <c r="K36" s="59">
        <f t="shared" si="12"/>
        <v>18.25</v>
      </c>
      <c r="L36" s="59">
        <f t="shared" si="12"/>
        <v>18.25</v>
      </c>
      <c r="M36" s="59">
        <f t="shared" si="12"/>
        <v>18.25</v>
      </c>
      <c r="N36" s="59">
        <f t="shared" si="12"/>
        <v>18.25</v>
      </c>
      <c r="O36" s="59">
        <f t="shared" si="12"/>
        <v>18.25</v>
      </c>
      <c r="P36" s="59">
        <f t="shared" si="12"/>
        <v>18.25</v>
      </c>
      <c r="Q36" s="59">
        <f t="shared" si="12"/>
        <v>18.25</v>
      </c>
    </row>
    <row r="37" spans="1:17" x14ac:dyDescent="0.3">
      <c r="A37" s="32"/>
      <c r="H37" s="59"/>
      <c r="I37" s="59"/>
      <c r="J37" s="59"/>
      <c r="K37" s="59"/>
      <c r="L37" s="59"/>
      <c r="M37" s="59"/>
      <c r="N37" s="59"/>
      <c r="O37" s="59"/>
      <c r="P37" s="59"/>
      <c r="Q37" s="59"/>
    </row>
    <row r="38" spans="1:17" x14ac:dyDescent="0.3">
      <c r="A38" s="32" t="s">
        <v>22</v>
      </c>
      <c r="H38" s="59">
        <f>CHOOSE($K$17,H62,H86,H110)</f>
        <v>36.5</v>
      </c>
      <c r="I38" s="59">
        <f t="shared" ref="I38:Q38" si="13">CHOOSE($K$17,I62,I86,I110)</f>
        <v>36.5</v>
      </c>
      <c r="J38" s="59">
        <f t="shared" si="13"/>
        <v>36.5</v>
      </c>
      <c r="K38" s="59">
        <f t="shared" si="13"/>
        <v>36.5</v>
      </c>
      <c r="L38" s="59">
        <f t="shared" si="13"/>
        <v>36.5</v>
      </c>
      <c r="M38" s="59">
        <f t="shared" si="13"/>
        <v>36.5</v>
      </c>
      <c r="N38" s="59">
        <f t="shared" si="13"/>
        <v>36.5</v>
      </c>
      <c r="O38" s="59">
        <f t="shared" si="13"/>
        <v>36.5</v>
      </c>
      <c r="P38" s="59">
        <f t="shared" si="13"/>
        <v>36.5</v>
      </c>
      <c r="Q38" s="59">
        <f t="shared" si="13"/>
        <v>36.5</v>
      </c>
    </row>
    <row r="39" spans="1:17" x14ac:dyDescent="0.3">
      <c r="A39" s="32"/>
    </row>
    <row r="40" spans="1:17" x14ac:dyDescent="0.3">
      <c r="A40" s="32" t="s">
        <v>23</v>
      </c>
      <c r="H40" s="55">
        <f t="shared" ref="H40:Q40" si="14">CHOOSE($K$17,H64,H88,H112)</f>
        <v>9.9487968588332046E-2</v>
      </c>
      <c r="I40" s="55">
        <f t="shared" si="14"/>
        <v>9.9487968588332046E-2</v>
      </c>
      <c r="J40" s="55">
        <f t="shared" si="14"/>
        <v>9.9487968588332046E-2</v>
      </c>
      <c r="K40" s="55">
        <f t="shared" si="14"/>
        <v>9.9487968588332046E-2</v>
      </c>
      <c r="L40" s="55">
        <f t="shared" si="14"/>
        <v>9.9487968588332046E-2</v>
      </c>
      <c r="M40" s="55">
        <f t="shared" si="14"/>
        <v>9.9487968588332046E-2</v>
      </c>
      <c r="N40" s="55">
        <f t="shared" si="14"/>
        <v>9.9487968588332046E-2</v>
      </c>
      <c r="O40" s="55">
        <f t="shared" si="14"/>
        <v>9.9487968588332046E-2</v>
      </c>
      <c r="P40" s="55">
        <f t="shared" si="14"/>
        <v>9.9487968588332046E-2</v>
      </c>
      <c r="Q40" s="55">
        <f t="shared" si="14"/>
        <v>9.9487968588332046E-2</v>
      </c>
    </row>
    <row r="41" spans="1:17" x14ac:dyDescent="0.3">
      <c r="A41" s="32" t="s">
        <v>24</v>
      </c>
      <c r="H41" s="55">
        <f t="shared" ref="H41:Q41" si="15">CHOOSE($K$17,H65,H89,H113)</f>
        <v>0.40055922281728723</v>
      </c>
      <c r="I41" s="55">
        <f t="shared" si="15"/>
        <v>0.40055922281728723</v>
      </c>
      <c r="J41" s="55">
        <f t="shared" si="15"/>
        <v>0.40055922281728723</v>
      </c>
      <c r="K41" s="55">
        <f t="shared" si="15"/>
        <v>0.40055922281728723</v>
      </c>
      <c r="L41" s="55">
        <f t="shared" si="15"/>
        <v>0.40055922281728723</v>
      </c>
      <c r="M41" s="55">
        <f t="shared" si="15"/>
        <v>0.40055922281728723</v>
      </c>
      <c r="N41" s="55">
        <f t="shared" si="15"/>
        <v>0.40055922281728723</v>
      </c>
      <c r="O41" s="55">
        <f t="shared" si="15"/>
        <v>0.40055922281728723</v>
      </c>
      <c r="P41" s="55">
        <f t="shared" si="15"/>
        <v>0.40055922281728723</v>
      </c>
      <c r="Q41" s="55">
        <f t="shared" si="15"/>
        <v>0.40055922281728723</v>
      </c>
    </row>
    <row r="42" spans="1:17" x14ac:dyDescent="0.3">
      <c r="A42" s="32"/>
    </row>
    <row r="43" spans="1:17" x14ac:dyDescent="0.3">
      <c r="A43" s="32" t="s">
        <v>25</v>
      </c>
      <c r="H43">
        <f t="shared" ref="H43:Q43" si="16">CHOOSE($K$17,H67,H91,H115)</f>
        <v>0</v>
      </c>
      <c r="I43">
        <f t="shared" si="16"/>
        <v>0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</row>
    <row r="44" spans="1:17" x14ac:dyDescent="0.3">
      <c r="A44" s="32" t="s">
        <v>90</v>
      </c>
      <c r="H44">
        <f>CHOOSE($K$17,H68,H92,H116)</f>
        <v>0</v>
      </c>
      <c r="I44">
        <f t="shared" ref="I44:Q44" si="17">CHOOSE($K$17,I68,I92,I116)</f>
        <v>0</v>
      </c>
      <c r="J44">
        <f t="shared" si="17"/>
        <v>0</v>
      </c>
      <c r="K44">
        <f t="shared" si="17"/>
        <v>0</v>
      </c>
      <c r="L44">
        <f t="shared" si="17"/>
        <v>0</v>
      </c>
      <c r="M44">
        <f t="shared" si="17"/>
        <v>0</v>
      </c>
      <c r="N44">
        <f t="shared" si="17"/>
        <v>0</v>
      </c>
      <c r="O44">
        <f t="shared" si="17"/>
        <v>0</v>
      </c>
      <c r="P44">
        <f t="shared" si="17"/>
        <v>0</v>
      </c>
      <c r="Q44">
        <f t="shared" si="17"/>
        <v>0</v>
      </c>
    </row>
    <row r="46" spans="1:17" x14ac:dyDescent="0.3">
      <c r="A46" s="34" t="s">
        <v>85</v>
      </c>
      <c r="B46" s="34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x14ac:dyDescent="0.3">
      <c r="A47" s="25" t="s">
        <v>10</v>
      </c>
      <c r="H47" s="64">
        <v>0.05</v>
      </c>
      <c r="I47" s="64">
        <v>0.06</v>
      </c>
      <c r="J47" s="64">
        <v>7.0000000000000007E-2</v>
      </c>
      <c r="K47" s="64">
        <v>0.08</v>
      </c>
      <c r="L47" s="64">
        <v>0.09</v>
      </c>
      <c r="M47" s="64">
        <v>0.1</v>
      </c>
      <c r="N47" s="64">
        <v>0.1</v>
      </c>
      <c r="O47" s="64">
        <v>0.1</v>
      </c>
      <c r="P47" s="64">
        <v>0.1</v>
      </c>
      <c r="Q47" s="64">
        <v>0.1</v>
      </c>
    </row>
    <row r="48" spans="1:17" x14ac:dyDescent="0.3">
      <c r="H48" s="65"/>
      <c r="I48" s="65"/>
      <c r="J48" s="65"/>
      <c r="K48" s="65"/>
      <c r="L48" s="65"/>
      <c r="M48" s="65"/>
      <c r="N48" s="65"/>
      <c r="O48" s="65"/>
      <c r="P48" s="65"/>
      <c r="Q48" s="65"/>
    </row>
    <row r="49" spans="1:17" x14ac:dyDescent="0.3">
      <c r="A49" s="31" t="s">
        <v>11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</row>
    <row r="50" spans="1:17" x14ac:dyDescent="0.3">
      <c r="A50" t="s">
        <v>12</v>
      </c>
      <c r="H50" s="66">
        <v>0.37613084657628737</v>
      </c>
      <c r="I50" s="66">
        <v>0.37</v>
      </c>
      <c r="J50" s="66">
        <v>0.36</v>
      </c>
      <c r="K50" s="66">
        <v>0.35</v>
      </c>
      <c r="L50" s="66">
        <v>0.35</v>
      </c>
      <c r="M50" s="66">
        <v>0.35</v>
      </c>
      <c r="N50" s="66">
        <v>0.35</v>
      </c>
      <c r="O50" s="66">
        <v>0.35</v>
      </c>
      <c r="P50" s="66">
        <v>0.35</v>
      </c>
      <c r="Q50" s="66">
        <v>0.35</v>
      </c>
    </row>
    <row r="51" spans="1:17" x14ac:dyDescent="0.3">
      <c r="A51" t="s">
        <v>13</v>
      </c>
      <c r="H51" s="66">
        <v>0.16743825113416283</v>
      </c>
      <c r="I51" s="66">
        <v>0.16</v>
      </c>
      <c r="J51" s="66">
        <v>0.16</v>
      </c>
      <c r="K51" s="66">
        <v>0.15</v>
      </c>
      <c r="L51" s="66">
        <v>0.15</v>
      </c>
      <c r="M51" s="66">
        <v>0.15</v>
      </c>
      <c r="N51" s="66">
        <v>0.15</v>
      </c>
      <c r="O51" s="66">
        <v>0.15</v>
      </c>
      <c r="P51" s="66">
        <v>0.15</v>
      </c>
      <c r="Q51" s="66">
        <v>0.15</v>
      </c>
    </row>
    <row r="52" spans="1:17" x14ac:dyDescent="0.3">
      <c r="A52" t="s">
        <v>14</v>
      </c>
      <c r="H52" s="66">
        <v>7.5690446502003031E-2</v>
      </c>
      <c r="I52" s="66">
        <v>7.0000000000000007E-2</v>
      </c>
      <c r="J52" s="66">
        <v>7.0000000000000007E-2</v>
      </c>
      <c r="K52" s="66">
        <v>0.06</v>
      </c>
      <c r="L52" s="66">
        <v>0.06</v>
      </c>
      <c r="M52" s="66">
        <v>0.06</v>
      </c>
      <c r="N52" s="66">
        <v>0.06</v>
      </c>
      <c r="O52" s="66">
        <v>0.06</v>
      </c>
      <c r="P52" s="66">
        <v>0.06</v>
      </c>
      <c r="Q52" s="66">
        <v>0.06</v>
      </c>
    </row>
    <row r="53" spans="1:17" x14ac:dyDescent="0.3">
      <c r="A53" s="33" t="s">
        <v>17</v>
      </c>
      <c r="B53" s="29"/>
      <c r="C53" s="29"/>
      <c r="D53" s="29"/>
      <c r="E53" s="29"/>
      <c r="F53" s="29"/>
      <c r="G53" s="29"/>
      <c r="H53" s="57">
        <f t="shared" ref="H53:Q53" si="18">SUM(H50:H52)</f>
        <v>0.61925954421245322</v>
      </c>
      <c r="I53" s="57">
        <f t="shared" si="18"/>
        <v>0.60000000000000009</v>
      </c>
      <c r="J53" s="57">
        <f t="shared" si="18"/>
        <v>0.59000000000000008</v>
      </c>
      <c r="K53" s="57">
        <f t="shared" si="18"/>
        <v>0.56000000000000005</v>
      </c>
      <c r="L53" s="57">
        <f t="shared" si="18"/>
        <v>0.56000000000000005</v>
      </c>
      <c r="M53" s="57">
        <f t="shared" si="18"/>
        <v>0.56000000000000005</v>
      </c>
      <c r="N53" s="57">
        <f t="shared" si="18"/>
        <v>0.56000000000000005</v>
      </c>
      <c r="O53" s="57">
        <f t="shared" si="18"/>
        <v>0.56000000000000005</v>
      </c>
      <c r="P53" s="57">
        <f t="shared" si="18"/>
        <v>0.56000000000000005</v>
      </c>
      <c r="Q53" s="57">
        <f t="shared" si="18"/>
        <v>0.56000000000000005</v>
      </c>
    </row>
    <row r="54" spans="1:17" x14ac:dyDescent="0.3">
      <c r="H54" s="62"/>
      <c r="I54" s="62"/>
      <c r="J54" s="62"/>
      <c r="K54" s="62"/>
      <c r="L54" s="62"/>
      <c r="M54" s="62"/>
      <c r="N54" s="62"/>
      <c r="O54" s="62"/>
      <c r="P54" s="62"/>
      <c r="Q54" s="62"/>
    </row>
    <row r="55" spans="1:17" x14ac:dyDescent="0.3">
      <c r="A55" s="32" t="s">
        <v>16</v>
      </c>
      <c r="H55" s="66">
        <v>0.20745309438189283</v>
      </c>
      <c r="I55" s="66">
        <v>0.20745309438189283</v>
      </c>
      <c r="J55" s="66">
        <v>0.20745309438189283</v>
      </c>
      <c r="K55" s="66">
        <v>0.20745309438189283</v>
      </c>
      <c r="L55" s="66">
        <v>0.20745309438189283</v>
      </c>
      <c r="M55" s="66">
        <v>0.20745309438189283</v>
      </c>
      <c r="N55" s="66">
        <v>0.20745309438189283</v>
      </c>
      <c r="O55" s="66">
        <v>0.20745309438189283</v>
      </c>
      <c r="P55" s="66">
        <v>0.20745309438189283</v>
      </c>
      <c r="Q55" s="66">
        <v>0.20745309438189283</v>
      </c>
    </row>
    <row r="56" spans="1:17" x14ac:dyDescent="0.3">
      <c r="A56" s="32" t="s">
        <v>18</v>
      </c>
      <c r="H56" s="66">
        <v>0.05</v>
      </c>
      <c r="I56" s="66">
        <v>0.05</v>
      </c>
      <c r="J56" s="66">
        <v>0.05</v>
      </c>
      <c r="K56" s="66">
        <v>0.05</v>
      </c>
      <c r="L56" s="66">
        <v>0.05</v>
      </c>
      <c r="M56" s="66">
        <v>0.05</v>
      </c>
      <c r="N56" s="66">
        <v>0.05</v>
      </c>
      <c r="O56" s="66">
        <v>0.05</v>
      </c>
      <c r="P56" s="66">
        <v>0.05</v>
      </c>
      <c r="Q56" s="66">
        <v>0.05</v>
      </c>
    </row>
    <row r="57" spans="1:17" x14ac:dyDescent="0.3">
      <c r="H57" s="62"/>
      <c r="I57" s="62"/>
      <c r="J57" s="62"/>
      <c r="K57" s="62"/>
      <c r="L57" s="62"/>
      <c r="M57" s="62"/>
      <c r="N57" s="62"/>
      <c r="O57" s="62"/>
      <c r="P57" s="62"/>
      <c r="Q57" s="62"/>
    </row>
    <row r="58" spans="1:17" x14ac:dyDescent="0.3">
      <c r="A58" s="31" t="s">
        <v>19</v>
      </c>
      <c r="H58" s="62"/>
      <c r="I58" s="62"/>
      <c r="J58" s="62"/>
      <c r="K58" s="62"/>
      <c r="L58" s="62"/>
      <c r="M58" s="62"/>
      <c r="N58" s="62"/>
      <c r="O58" s="62"/>
      <c r="P58" s="62"/>
      <c r="Q58" s="62"/>
    </row>
    <row r="59" spans="1:17" x14ac:dyDescent="0.3">
      <c r="A59" s="32" t="s">
        <v>20</v>
      </c>
      <c r="H59" s="67">
        <v>73</v>
      </c>
      <c r="I59" s="67">
        <v>73</v>
      </c>
      <c r="J59" s="67">
        <v>73</v>
      </c>
      <c r="K59" s="67">
        <v>73</v>
      </c>
      <c r="L59" s="67">
        <v>73</v>
      </c>
      <c r="M59" s="67">
        <v>73</v>
      </c>
      <c r="N59" s="67">
        <v>73</v>
      </c>
      <c r="O59" s="67">
        <v>73</v>
      </c>
      <c r="P59" s="67">
        <v>73</v>
      </c>
      <c r="Q59" s="67">
        <v>73</v>
      </c>
    </row>
    <row r="60" spans="1:17" x14ac:dyDescent="0.3">
      <c r="A60" s="32" t="s">
        <v>21</v>
      </c>
      <c r="H60" s="67">
        <v>18.25</v>
      </c>
      <c r="I60" s="67">
        <v>18.25</v>
      </c>
      <c r="J60" s="67">
        <v>18.25</v>
      </c>
      <c r="K60" s="67">
        <v>18.25</v>
      </c>
      <c r="L60" s="67">
        <v>18.25</v>
      </c>
      <c r="M60" s="67">
        <v>18.25</v>
      </c>
      <c r="N60" s="67">
        <v>18.25</v>
      </c>
      <c r="O60" s="67">
        <v>18.25</v>
      </c>
      <c r="P60" s="67">
        <v>18.25</v>
      </c>
      <c r="Q60" s="67">
        <v>18.25</v>
      </c>
    </row>
    <row r="61" spans="1:17" x14ac:dyDescent="0.3">
      <c r="A61" s="32"/>
      <c r="H61" s="68"/>
      <c r="I61" s="68"/>
      <c r="J61" s="68"/>
      <c r="K61" s="68"/>
      <c r="L61" s="68"/>
      <c r="M61" s="68"/>
      <c r="N61" s="68"/>
      <c r="O61" s="68"/>
      <c r="P61" s="68"/>
      <c r="Q61" s="68"/>
    </row>
    <row r="62" spans="1:17" x14ac:dyDescent="0.3">
      <c r="A62" s="32" t="s">
        <v>22</v>
      </c>
      <c r="H62" s="67">
        <v>36.5</v>
      </c>
      <c r="I62" s="67">
        <v>36.5</v>
      </c>
      <c r="J62" s="67">
        <v>36.5</v>
      </c>
      <c r="K62" s="67">
        <v>36.5</v>
      </c>
      <c r="L62" s="67">
        <v>36.5</v>
      </c>
      <c r="M62" s="67">
        <v>36.5</v>
      </c>
      <c r="N62" s="67">
        <v>36.5</v>
      </c>
      <c r="O62" s="67">
        <v>36.5</v>
      </c>
      <c r="P62" s="67">
        <v>36.5</v>
      </c>
      <c r="Q62" s="67">
        <v>36.5</v>
      </c>
    </row>
    <row r="63" spans="1:17" x14ac:dyDescent="0.3">
      <c r="A63" s="3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 spans="1:17" x14ac:dyDescent="0.3">
      <c r="A64" s="32" t="s">
        <v>23</v>
      </c>
      <c r="H64" s="69">
        <v>9.9487968588332046E-2</v>
      </c>
      <c r="I64" s="69">
        <v>9.9487968588332046E-2</v>
      </c>
      <c r="J64" s="69">
        <v>9.9487968588332046E-2</v>
      </c>
      <c r="K64" s="69">
        <v>9.9487968588332046E-2</v>
      </c>
      <c r="L64" s="69">
        <v>9.9487968588332046E-2</v>
      </c>
      <c r="M64" s="69">
        <v>9.9487968588332046E-2</v>
      </c>
      <c r="N64" s="69">
        <v>9.9487968588332046E-2</v>
      </c>
      <c r="O64" s="69">
        <v>9.9487968588332046E-2</v>
      </c>
      <c r="P64" s="69">
        <v>9.9487968588332046E-2</v>
      </c>
      <c r="Q64" s="69">
        <v>9.9487968588332046E-2</v>
      </c>
    </row>
    <row r="65" spans="1:17" x14ac:dyDescent="0.3">
      <c r="A65" s="32" t="s">
        <v>24</v>
      </c>
      <c r="H65" s="69">
        <v>0.40055922281728723</v>
      </c>
      <c r="I65" s="69">
        <v>0.40055922281728723</v>
      </c>
      <c r="J65" s="69">
        <v>0.40055922281728723</v>
      </c>
      <c r="K65" s="69">
        <v>0.40055922281728723</v>
      </c>
      <c r="L65" s="69">
        <v>0.40055922281728723</v>
      </c>
      <c r="M65" s="69">
        <v>0.40055922281728723</v>
      </c>
      <c r="N65" s="69">
        <v>0.40055922281728723</v>
      </c>
      <c r="O65" s="69">
        <v>0.40055922281728723</v>
      </c>
      <c r="P65" s="69">
        <v>0.40055922281728723</v>
      </c>
      <c r="Q65" s="69">
        <v>0.40055922281728723</v>
      </c>
    </row>
    <row r="66" spans="1:17" x14ac:dyDescent="0.3">
      <c r="A66" s="32"/>
      <c r="H66" s="62"/>
      <c r="I66" s="62"/>
      <c r="J66" s="62"/>
      <c r="K66" s="62"/>
      <c r="L66" s="62"/>
      <c r="M66" s="62"/>
      <c r="N66" s="62"/>
      <c r="O66" s="62"/>
      <c r="P66" s="62"/>
      <c r="Q66" s="62"/>
    </row>
    <row r="67" spans="1:17" x14ac:dyDescent="0.3">
      <c r="A67" s="32" t="s">
        <v>25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</row>
    <row r="68" spans="1:17" x14ac:dyDescent="0.3">
      <c r="A68" s="32" t="s">
        <v>90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</row>
    <row r="70" spans="1:17" x14ac:dyDescent="0.3">
      <c r="A70" s="34" t="s">
        <v>86</v>
      </c>
      <c r="B70" s="34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</row>
    <row r="71" spans="1:17" x14ac:dyDescent="0.3">
      <c r="A71" s="25" t="s">
        <v>10</v>
      </c>
      <c r="H71" s="64">
        <v>0.1</v>
      </c>
      <c r="I71" s="64">
        <v>0.1</v>
      </c>
      <c r="J71" s="64">
        <v>0.1</v>
      </c>
      <c r="K71" s="64">
        <v>0.1</v>
      </c>
      <c r="L71" s="64">
        <v>0.1</v>
      </c>
      <c r="M71" s="64">
        <v>0.1</v>
      </c>
      <c r="N71" s="64">
        <v>0.1</v>
      </c>
      <c r="O71" s="64">
        <v>0.1</v>
      </c>
      <c r="P71" s="64">
        <v>0.1</v>
      </c>
      <c r="Q71" s="64">
        <v>0.1</v>
      </c>
    </row>
    <row r="72" spans="1:17" x14ac:dyDescent="0.3">
      <c r="H72" s="65"/>
      <c r="I72" s="65"/>
      <c r="J72" s="65"/>
      <c r="K72" s="65"/>
      <c r="L72" s="65"/>
      <c r="M72" s="65"/>
      <c r="N72" s="65"/>
      <c r="O72" s="65"/>
      <c r="P72" s="65"/>
      <c r="Q72" s="65"/>
    </row>
    <row r="73" spans="1:17" x14ac:dyDescent="0.3">
      <c r="A73" s="31" t="s">
        <v>11</v>
      </c>
      <c r="H73" s="65"/>
      <c r="I73" s="65"/>
      <c r="J73" s="65"/>
      <c r="K73" s="65"/>
      <c r="L73" s="65"/>
      <c r="M73" s="65"/>
      <c r="N73" s="65"/>
      <c r="O73" s="65"/>
      <c r="P73" s="65"/>
      <c r="Q73" s="65"/>
    </row>
    <row r="74" spans="1:17" x14ac:dyDescent="0.3">
      <c r="A74" t="s">
        <v>12</v>
      </c>
      <c r="H74" s="66">
        <v>0.35</v>
      </c>
      <c r="I74" s="66">
        <v>0.33</v>
      </c>
      <c r="J74" s="66">
        <v>0.3</v>
      </c>
      <c r="K74" s="66">
        <v>0.3</v>
      </c>
      <c r="L74" s="66">
        <v>0.3</v>
      </c>
      <c r="M74" s="66">
        <v>0.3</v>
      </c>
      <c r="N74" s="66">
        <v>0.3</v>
      </c>
      <c r="O74" s="66">
        <v>0.3</v>
      </c>
      <c r="P74" s="66">
        <v>0.3</v>
      </c>
      <c r="Q74" s="66">
        <v>0.3</v>
      </c>
    </row>
    <row r="75" spans="1:17" x14ac:dyDescent="0.3">
      <c r="A75" t="s">
        <v>13</v>
      </c>
      <c r="H75" s="66">
        <v>0.15</v>
      </c>
      <c r="I75" s="66">
        <v>0.14000000000000001</v>
      </c>
      <c r="J75" s="66">
        <v>0.13</v>
      </c>
      <c r="K75" s="66">
        <v>0.13</v>
      </c>
      <c r="L75" s="66">
        <v>0.13</v>
      </c>
      <c r="M75" s="66">
        <v>0.13</v>
      </c>
      <c r="N75" s="66">
        <v>0.13</v>
      </c>
      <c r="O75" s="66">
        <v>0.13</v>
      </c>
      <c r="P75" s="66">
        <v>0.13</v>
      </c>
      <c r="Q75" s="66">
        <v>0.13</v>
      </c>
    </row>
    <row r="76" spans="1:17" x14ac:dyDescent="0.3">
      <c r="A76" t="s">
        <v>14</v>
      </c>
      <c r="H76" s="66">
        <v>7.5690446502003031E-2</v>
      </c>
      <c r="I76" s="66">
        <v>7.5690446502003031E-2</v>
      </c>
      <c r="J76" s="66">
        <v>7.5690446502003031E-2</v>
      </c>
      <c r="K76" s="66">
        <v>7.0000000000000007E-2</v>
      </c>
      <c r="L76" s="66">
        <v>7.0000000000000007E-2</v>
      </c>
      <c r="M76" s="66">
        <v>7.0000000000000007E-2</v>
      </c>
      <c r="N76" s="66">
        <v>7.0000000000000007E-2</v>
      </c>
      <c r="O76" s="66">
        <v>7.0000000000000007E-2</v>
      </c>
      <c r="P76" s="66">
        <v>7.0000000000000007E-2</v>
      </c>
      <c r="Q76" s="66">
        <v>7.0000000000000007E-2</v>
      </c>
    </row>
    <row r="77" spans="1:17" x14ac:dyDescent="0.3">
      <c r="A77" s="33" t="s">
        <v>17</v>
      </c>
      <c r="B77" s="29"/>
      <c r="C77" s="29"/>
      <c r="D77" s="29"/>
      <c r="E77" s="29"/>
      <c r="F77" s="29"/>
      <c r="G77" s="29"/>
      <c r="H77" s="57">
        <f t="shared" ref="H77:Q77" si="19">SUM(H74:H76)</f>
        <v>0.57569044650200307</v>
      </c>
      <c r="I77" s="57">
        <f t="shared" si="19"/>
        <v>0.54569044650200305</v>
      </c>
      <c r="J77" s="57">
        <f t="shared" si="19"/>
        <v>0.50569044650200301</v>
      </c>
      <c r="K77" s="57">
        <f t="shared" si="19"/>
        <v>0.5</v>
      </c>
      <c r="L77" s="57">
        <f t="shared" si="19"/>
        <v>0.5</v>
      </c>
      <c r="M77" s="57">
        <f t="shared" si="19"/>
        <v>0.5</v>
      </c>
      <c r="N77" s="57">
        <f t="shared" si="19"/>
        <v>0.5</v>
      </c>
      <c r="O77" s="57">
        <f t="shared" si="19"/>
        <v>0.5</v>
      </c>
      <c r="P77" s="57">
        <f t="shared" si="19"/>
        <v>0.5</v>
      </c>
      <c r="Q77" s="57">
        <f t="shared" si="19"/>
        <v>0.5</v>
      </c>
    </row>
    <row r="78" spans="1:17" x14ac:dyDescent="0.3">
      <c r="H78" s="62"/>
      <c r="I78" s="62"/>
      <c r="J78" s="62"/>
      <c r="K78" s="62"/>
      <c r="L78" s="62"/>
      <c r="M78" s="62"/>
      <c r="N78" s="62"/>
      <c r="O78" s="62"/>
      <c r="P78" s="62"/>
      <c r="Q78" s="62"/>
    </row>
    <row r="79" spans="1:17" x14ac:dyDescent="0.3">
      <c r="A79" s="32" t="s">
        <v>16</v>
      </c>
      <c r="H79" s="66">
        <v>0.20745309438189283</v>
      </c>
      <c r="I79" s="66">
        <v>0.20745309438189283</v>
      </c>
      <c r="J79" s="66">
        <v>0.20745309438189283</v>
      </c>
      <c r="K79" s="66">
        <v>0.20745309438189283</v>
      </c>
      <c r="L79" s="66">
        <v>0.20745309438189283</v>
      </c>
      <c r="M79" s="66">
        <v>0.20745309438189283</v>
      </c>
      <c r="N79" s="66">
        <v>0.20745309438189283</v>
      </c>
      <c r="O79" s="66">
        <v>0.20745309438189283</v>
      </c>
      <c r="P79" s="66">
        <v>0.20745309438189283</v>
      </c>
      <c r="Q79" s="66">
        <v>0.20745309438189283</v>
      </c>
    </row>
    <row r="80" spans="1:17" x14ac:dyDescent="0.3">
      <c r="A80" s="32" t="s">
        <v>18</v>
      </c>
      <c r="H80" s="66">
        <v>0.05</v>
      </c>
      <c r="I80" s="66">
        <v>0.05</v>
      </c>
      <c r="J80" s="66">
        <v>0.05</v>
      </c>
      <c r="K80" s="66">
        <v>0.05</v>
      </c>
      <c r="L80" s="66">
        <v>0.05</v>
      </c>
      <c r="M80" s="66">
        <v>0.05</v>
      </c>
      <c r="N80" s="66">
        <v>0.05</v>
      </c>
      <c r="O80" s="66">
        <v>0.05</v>
      </c>
      <c r="P80" s="66">
        <v>0.05</v>
      </c>
      <c r="Q80" s="66">
        <v>0.05</v>
      </c>
    </row>
    <row r="81" spans="1:17" x14ac:dyDescent="0.3">
      <c r="H81" s="62"/>
      <c r="I81" s="62"/>
      <c r="J81" s="62"/>
      <c r="K81" s="62"/>
      <c r="L81" s="62"/>
      <c r="M81" s="62"/>
      <c r="N81" s="62"/>
      <c r="O81" s="62"/>
      <c r="P81" s="62"/>
      <c r="Q81" s="62"/>
    </row>
    <row r="82" spans="1:17" x14ac:dyDescent="0.3">
      <c r="A82" s="31" t="s">
        <v>19</v>
      </c>
      <c r="H82" s="62"/>
      <c r="I82" s="62"/>
      <c r="J82" s="62"/>
      <c r="K82" s="62"/>
      <c r="L82" s="62"/>
      <c r="M82" s="62"/>
      <c r="N82" s="62"/>
      <c r="O82" s="62"/>
      <c r="P82" s="62"/>
      <c r="Q82" s="62"/>
    </row>
    <row r="83" spans="1:17" x14ac:dyDescent="0.3">
      <c r="A83" s="32" t="s">
        <v>20</v>
      </c>
      <c r="H83" s="67">
        <v>73</v>
      </c>
      <c r="I83" s="67">
        <v>73</v>
      </c>
      <c r="J83" s="67">
        <v>73</v>
      </c>
      <c r="K83" s="67">
        <v>73</v>
      </c>
      <c r="L83" s="67">
        <v>73</v>
      </c>
      <c r="M83" s="67">
        <v>73</v>
      </c>
      <c r="N83" s="67">
        <v>73</v>
      </c>
      <c r="O83" s="67">
        <v>73</v>
      </c>
      <c r="P83" s="67">
        <v>73</v>
      </c>
      <c r="Q83" s="67">
        <v>73</v>
      </c>
    </row>
    <row r="84" spans="1:17" x14ac:dyDescent="0.3">
      <c r="A84" s="32" t="s">
        <v>21</v>
      </c>
      <c r="H84" s="67">
        <v>18.25</v>
      </c>
      <c r="I84" s="67">
        <v>18.25</v>
      </c>
      <c r="J84" s="67">
        <v>18.25</v>
      </c>
      <c r="K84" s="67">
        <v>18.25</v>
      </c>
      <c r="L84" s="67">
        <v>18.25</v>
      </c>
      <c r="M84" s="67">
        <v>18.25</v>
      </c>
      <c r="N84" s="67">
        <v>18.25</v>
      </c>
      <c r="O84" s="67">
        <v>18.25</v>
      </c>
      <c r="P84" s="67">
        <v>18.25</v>
      </c>
      <c r="Q84" s="67">
        <v>18.25</v>
      </c>
    </row>
    <row r="85" spans="1:17" x14ac:dyDescent="0.3">
      <c r="A85" s="32"/>
      <c r="H85" s="68"/>
      <c r="I85" s="68"/>
      <c r="J85" s="68"/>
      <c r="K85" s="68"/>
      <c r="L85" s="68"/>
      <c r="M85" s="68"/>
      <c r="N85" s="68"/>
      <c r="O85" s="68"/>
      <c r="P85" s="68"/>
      <c r="Q85" s="68"/>
    </row>
    <row r="86" spans="1:17" x14ac:dyDescent="0.3">
      <c r="A86" s="32" t="s">
        <v>22</v>
      </c>
      <c r="H86" s="67">
        <v>36.5</v>
      </c>
      <c r="I86" s="67">
        <v>36.5</v>
      </c>
      <c r="J86" s="67">
        <v>36.5</v>
      </c>
      <c r="K86" s="67">
        <v>36.5</v>
      </c>
      <c r="L86" s="67">
        <v>36.5</v>
      </c>
      <c r="M86" s="67">
        <v>36.5</v>
      </c>
      <c r="N86" s="67">
        <v>36.5</v>
      </c>
      <c r="O86" s="67">
        <v>36.5</v>
      </c>
      <c r="P86" s="67">
        <v>36.5</v>
      </c>
      <c r="Q86" s="67">
        <v>36.5</v>
      </c>
    </row>
    <row r="87" spans="1:17" x14ac:dyDescent="0.3">
      <c r="A87" s="32"/>
      <c r="H87" s="62"/>
      <c r="I87" s="62"/>
      <c r="J87" s="62"/>
      <c r="K87" s="62"/>
      <c r="L87" s="62"/>
      <c r="M87" s="62"/>
      <c r="N87" s="62"/>
      <c r="O87" s="62"/>
      <c r="P87" s="62"/>
      <c r="Q87" s="62"/>
    </row>
    <row r="88" spans="1:17" x14ac:dyDescent="0.3">
      <c r="A88" s="32" t="s">
        <v>23</v>
      </c>
      <c r="H88" s="69">
        <v>9.9487968588332046E-2</v>
      </c>
      <c r="I88" s="69">
        <v>9.9487968588332046E-2</v>
      </c>
      <c r="J88" s="69">
        <v>9.9487968588332046E-2</v>
      </c>
      <c r="K88" s="69">
        <v>9.9487968588332046E-2</v>
      </c>
      <c r="L88" s="69">
        <v>9.9487968588332046E-2</v>
      </c>
      <c r="M88" s="69">
        <v>9.9487968588332046E-2</v>
      </c>
      <c r="N88" s="69">
        <v>9.9487968588332046E-2</v>
      </c>
      <c r="O88" s="69">
        <v>9.9487968588332046E-2</v>
      </c>
      <c r="P88" s="69">
        <v>9.9487968588332046E-2</v>
      </c>
      <c r="Q88" s="69">
        <v>9.9487968588332046E-2</v>
      </c>
    </row>
    <row r="89" spans="1:17" x14ac:dyDescent="0.3">
      <c r="A89" s="32" t="s">
        <v>24</v>
      </c>
      <c r="H89" s="69">
        <v>0.40055922281728723</v>
      </c>
      <c r="I89" s="69">
        <v>0.40055922281728723</v>
      </c>
      <c r="J89" s="69">
        <v>0.40055922281728723</v>
      </c>
      <c r="K89" s="69">
        <v>0.40055922281728723</v>
      </c>
      <c r="L89" s="69">
        <v>0.40055922281728723</v>
      </c>
      <c r="M89" s="69">
        <v>0.40055922281728723</v>
      </c>
      <c r="N89" s="69">
        <v>0.40055922281728723</v>
      </c>
      <c r="O89" s="69">
        <v>0.40055922281728723</v>
      </c>
      <c r="P89" s="69">
        <v>0.40055922281728723</v>
      </c>
      <c r="Q89" s="69">
        <v>0.40055922281728723</v>
      </c>
    </row>
    <row r="90" spans="1:17" x14ac:dyDescent="0.3">
      <c r="A90" s="32"/>
      <c r="H90" s="62"/>
      <c r="I90" s="62"/>
      <c r="J90" s="62"/>
      <c r="K90" s="62"/>
      <c r="L90" s="62"/>
      <c r="M90" s="62"/>
      <c r="N90" s="62"/>
      <c r="O90" s="62"/>
      <c r="P90" s="62"/>
      <c r="Q90" s="62"/>
    </row>
    <row r="91" spans="1:17" x14ac:dyDescent="0.3">
      <c r="A91" s="32" t="s">
        <v>25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</row>
    <row r="92" spans="1:17" x14ac:dyDescent="0.3">
      <c r="A92" s="32" t="s">
        <v>90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</row>
    <row r="94" spans="1:17" x14ac:dyDescent="0.3">
      <c r="A94" s="34" t="s">
        <v>87</v>
      </c>
      <c r="B94" s="34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</row>
    <row r="95" spans="1:17" x14ac:dyDescent="0.3">
      <c r="A95" s="25" t="s">
        <v>10</v>
      </c>
      <c r="H95" s="64">
        <v>0.02</v>
      </c>
      <c r="I95" s="64">
        <v>0.01</v>
      </c>
      <c r="J95" s="64">
        <v>0.01</v>
      </c>
      <c r="K95" s="64">
        <v>0.01</v>
      </c>
      <c r="L95" s="64">
        <v>0.01</v>
      </c>
      <c r="M95" s="64">
        <v>0.01</v>
      </c>
      <c r="N95" s="64">
        <v>0.01</v>
      </c>
      <c r="O95" s="64">
        <v>0.01</v>
      </c>
      <c r="P95" s="64">
        <v>0.01</v>
      </c>
      <c r="Q95" s="64">
        <v>0.01</v>
      </c>
    </row>
    <row r="96" spans="1:17" x14ac:dyDescent="0.3">
      <c r="H96" s="65"/>
      <c r="I96" s="65"/>
      <c r="J96" s="65"/>
      <c r="K96" s="65"/>
      <c r="L96" s="65"/>
      <c r="M96" s="65"/>
      <c r="N96" s="65"/>
      <c r="O96" s="65"/>
      <c r="P96" s="65"/>
      <c r="Q96" s="65"/>
    </row>
    <row r="97" spans="1:17" x14ac:dyDescent="0.3">
      <c r="A97" s="31" t="s">
        <v>11</v>
      </c>
      <c r="H97" s="65"/>
      <c r="I97" s="65"/>
      <c r="J97" s="65"/>
      <c r="K97" s="65"/>
      <c r="L97" s="65"/>
      <c r="M97" s="65"/>
      <c r="N97" s="65"/>
      <c r="O97" s="65"/>
      <c r="P97" s="65"/>
      <c r="Q97" s="65"/>
    </row>
    <row r="98" spans="1:17" x14ac:dyDescent="0.3">
      <c r="A98" t="s">
        <v>12</v>
      </c>
      <c r="H98" s="66">
        <v>0.37613084657628737</v>
      </c>
      <c r="I98" s="66">
        <v>0.39</v>
      </c>
      <c r="J98" s="66">
        <v>0.39</v>
      </c>
      <c r="K98" s="66">
        <v>0.39</v>
      </c>
      <c r="L98" s="66">
        <v>0.39</v>
      </c>
      <c r="M98" s="66">
        <v>0.39</v>
      </c>
      <c r="N98" s="66">
        <v>0.39</v>
      </c>
      <c r="O98" s="66">
        <v>0.39</v>
      </c>
      <c r="P98" s="66">
        <v>0.39</v>
      </c>
      <c r="Q98" s="66">
        <v>0.39</v>
      </c>
    </row>
    <row r="99" spans="1:17" x14ac:dyDescent="0.3">
      <c r="A99" t="s">
        <v>13</v>
      </c>
      <c r="H99" s="66">
        <v>0.16743825113416283</v>
      </c>
      <c r="I99" s="66">
        <v>0.17</v>
      </c>
      <c r="J99" s="66">
        <v>0.18</v>
      </c>
      <c r="K99" s="66">
        <v>0.2</v>
      </c>
      <c r="L99" s="66">
        <v>0.22</v>
      </c>
      <c r="M99" s="66">
        <v>0.22</v>
      </c>
      <c r="N99" s="66">
        <v>0.22</v>
      </c>
      <c r="O99" s="66">
        <v>0.22</v>
      </c>
      <c r="P99" s="66">
        <v>0.22</v>
      </c>
      <c r="Q99" s="66">
        <v>0.22</v>
      </c>
    </row>
    <row r="100" spans="1:17" x14ac:dyDescent="0.3">
      <c r="A100" t="s">
        <v>14</v>
      </c>
      <c r="H100" s="66">
        <v>7.5690446502003031E-2</v>
      </c>
      <c r="I100" s="66">
        <v>7.5690446502003031E-2</v>
      </c>
      <c r="J100" s="66">
        <v>7.5690446502003031E-2</v>
      </c>
      <c r="K100" s="66">
        <v>0.09</v>
      </c>
      <c r="L100" s="66">
        <v>0.1</v>
      </c>
      <c r="M100" s="66">
        <v>0.1</v>
      </c>
      <c r="N100" s="66">
        <v>0.1</v>
      </c>
      <c r="O100" s="66">
        <v>0.1</v>
      </c>
      <c r="P100" s="66">
        <v>0.1</v>
      </c>
      <c r="Q100" s="66">
        <v>0.1</v>
      </c>
    </row>
    <row r="101" spans="1:17" x14ac:dyDescent="0.3">
      <c r="A101" s="33" t="s">
        <v>17</v>
      </c>
      <c r="B101" s="29"/>
      <c r="C101" s="29"/>
      <c r="D101" s="29"/>
      <c r="E101" s="29"/>
      <c r="F101" s="29"/>
      <c r="G101" s="29"/>
      <c r="H101" s="57">
        <f t="shared" ref="H101:Q101" si="20">SUM(H98:H100)</f>
        <v>0.61925954421245322</v>
      </c>
      <c r="I101" s="57">
        <f t="shared" si="20"/>
        <v>0.63569044650200313</v>
      </c>
      <c r="J101" s="57">
        <f t="shared" si="20"/>
        <v>0.64569044650200313</v>
      </c>
      <c r="K101" s="57">
        <f t="shared" si="20"/>
        <v>0.68</v>
      </c>
      <c r="L101" s="57">
        <f t="shared" si="20"/>
        <v>0.71</v>
      </c>
      <c r="M101" s="57">
        <f t="shared" si="20"/>
        <v>0.71</v>
      </c>
      <c r="N101" s="57">
        <f t="shared" si="20"/>
        <v>0.71</v>
      </c>
      <c r="O101" s="57">
        <f t="shared" si="20"/>
        <v>0.71</v>
      </c>
      <c r="P101" s="57">
        <f t="shared" si="20"/>
        <v>0.71</v>
      </c>
      <c r="Q101" s="57">
        <f t="shared" si="20"/>
        <v>0.71</v>
      </c>
    </row>
    <row r="102" spans="1:17" x14ac:dyDescent="0.3">
      <c r="H102" s="62"/>
      <c r="I102" s="62"/>
      <c r="J102" s="62"/>
      <c r="K102" s="62"/>
      <c r="L102" s="62"/>
      <c r="M102" s="62"/>
      <c r="N102" s="62"/>
      <c r="O102" s="62"/>
      <c r="P102" s="62"/>
      <c r="Q102" s="62"/>
    </row>
    <row r="103" spans="1:17" x14ac:dyDescent="0.3">
      <c r="A103" s="32" t="s">
        <v>16</v>
      </c>
      <c r="H103" s="66">
        <v>0.20745309438189283</v>
      </c>
      <c r="I103" s="66">
        <v>0.20745309438189283</v>
      </c>
      <c r="J103" s="66">
        <v>0.20745309438189283</v>
      </c>
      <c r="K103" s="66">
        <v>0.20745309438189283</v>
      </c>
      <c r="L103" s="66">
        <v>0.20745309438189283</v>
      </c>
      <c r="M103" s="66">
        <v>0.20745309438189283</v>
      </c>
      <c r="N103" s="66">
        <v>0.20745309438189283</v>
      </c>
      <c r="O103" s="66">
        <v>0.20745309438189283</v>
      </c>
      <c r="P103" s="66">
        <v>0.20745309438189283</v>
      </c>
      <c r="Q103" s="66">
        <v>0.20745309438189283</v>
      </c>
    </row>
    <row r="104" spans="1:17" x14ac:dyDescent="0.3">
      <c r="A104" s="32" t="s">
        <v>18</v>
      </c>
      <c r="H104" s="66">
        <v>0.05</v>
      </c>
      <c r="I104" s="66">
        <v>0.05</v>
      </c>
      <c r="J104" s="66">
        <v>0.05</v>
      </c>
      <c r="K104" s="66">
        <v>0.05</v>
      </c>
      <c r="L104" s="66">
        <v>0.05</v>
      </c>
      <c r="M104" s="66">
        <v>0.05</v>
      </c>
      <c r="N104" s="66">
        <v>0.05</v>
      </c>
      <c r="O104" s="66">
        <v>0.05</v>
      </c>
      <c r="P104" s="66">
        <v>0.05</v>
      </c>
      <c r="Q104" s="66">
        <v>0.05</v>
      </c>
    </row>
    <row r="105" spans="1:17" x14ac:dyDescent="0.3">
      <c r="H105" s="62"/>
      <c r="I105" s="62"/>
      <c r="J105" s="62"/>
      <c r="K105" s="62"/>
      <c r="L105" s="62"/>
      <c r="M105" s="62"/>
      <c r="N105" s="62"/>
      <c r="O105" s="62"/>
      <c r="P105" s="62"/>
      <c r="Q105" s="62"/>
    </row>
    <row r="106" spans="1:17" x14ac:dyDescent="0.3">
      <c r="A106" s="31" t="s">
        <v>19</v>
      </c>
      <c r="H106" s="62"/>
      <c r="I106" s="62"/>
      <c r="J106" s="62"/>
      <c r="K106" s="62"/>
      <c r="L106" s="62"/>
      <c r="M106" s="62"/>
      <c r="N106" s="62"/>
      <c r="O106" s="62"/>
      <c r="P106" s="62"/>
      <c r="Q106" s="62"/>
    </row>
    <row r="107" spans="1:17" x14ac:dyDescent="0.3">
      <c r="A107" s="32" t="s">
        <v>20</v>
      </c>
      <c r="H107" s="67">
        <v>73</v>
      </c>
      <c r="I107" s="67">
        <v>73</v>
      </c>
      <c r="J107" s="67">
        <v>73</v>
      </c>
      <c r="K107" s="67">
        <v>73</v>
      </c>
      <c r="L107" s="67">
        <v>73</v>
      </c>
      <c r="M107" s="67">
        <v>73</v>
      </c>
      <c r="N107" s="67">
        <v>73</v>
      </c>
      <c r="O107" s="67">
        <v>73</v>
      </c>
      <c r="P107" s="67">
        <v>73</v>
      </c>
      <c r="Q107" s="67">
        <v>73</v>
      </c>
    </row>
    <row r="108" spans="1:17" x14ac:dyDescent="0.3">
      <c r="A108" s="32" t="s">
        <v>21</v>
      </c>
      <c r="H108" s="67">
        <v>18.25</v>
      </c>
      <c r="I108" s="67">
        <v>18.25</v>
      </c>
      <c r="J108" s="67">
        <v>18.25</v>
      </c>
      <c r="K108" s="67">
        <v>18.25</v>
      </c>
      <c r="L108" s="67">
        <v>18.25</v>
      </c>
      <c r="M108" s="67">
        <v>18.25</v>
      </c>
      <c r="N108" s="67">
        <v>18.25</v>
      </c>
      <c r="O108" s="67">
        <v>18.25</v>
      </c>
      <c r="P108" s="67">
        <v>18.25</v>
      </c>
      <c r="Q108" s="67">
        <v>18.25</v>
      </c>
    </row>
    <row r="109" spans="1:17" x14ac:dyDescent="0.3">
      <c r="A109" s="32"/>
      <c r="H109" s="68"/>
      <c r="I109" s="68"/>
      <c r="J109" s="68"/>
      <c r="K109" s="68"/>
      <c r="L109" s="68"/>
      <c r="M109" s="68"/>
      <c r="N109" s="68"/>
      <c r="O109" s="68"/>
      <c r="P109" s="68"/>
      <c r="Q109" s="68"/>
    </row>
    <row r="110" spans="1:17" x14ac:dyDescent="0.3">
      <c r="A110" s="32" t="s">
        <v>22</v>
      </c>
      <c r="H110" s="67">
        <v>36.5</v>
      </c>
      <c r="I110" s="67">
        <v>36.5</v>
      </c>
      <c r="J110" s="67">
        <v>36.5</v>
      </c>
      <c r="K110" s="67">
        <v>36.5</v>
      </c>
      <c r="L110" s="67">
        <v>36.5</v>
      </c>
      <c r="M110" s="67">
        <v>36.5</v>
      </c>
      <c r="N110" s="67">
        <v>36.5</v>
      </c>
      <c r="O110" s="67">
        <v>36.5</v>
      </c>
      <c r="P110" s="67">
        <v>36.5</v>
      </c>
      <c r="Q110" s="67">
        <v>36.5</v>
      </c>
    </row>
    <row r="111" spans="1:17" x14ac:dyDescent="0.3">
      <c r="A111" s="32"/>
      <c r="H111" s="62"/>
      <c r="I111" s="62"/>
      <c r="J111" s="62"/>
      <c r="K111" s="62"/>
      <c r="L111" s="62"/>
      <c r="M111" s="62"/>
      <c r="N111" s="62"/>
      <c r="O111" s="62"/>
      <c r="P111" s="62"/>
      <c r="Q111" s="62"/>
    </row>
    <row r="112" spans="1:17" x14ac:dyDescent="0.3">
      <c r="A112" s="32" t="s">
        <v>23</v>
      </c>
      <c r="H112" s="69">
        <v>9.9487968588332046E-2</v>
      </c>
      <c r="I112" s="69">
        <v>9.9487968588332046E-2</v>
      </c>
      <c r="J112" s="69">
        <v>9.9487968588332046E-2</v>
      </c>
      <c r="K112" s="69">
        <v>9.9487968588332046E-2</v>
      </c>
      <c r="L112" s="69">
        <v>9.9487968588332046E-2</v>
      </c>
      <c r="M112" s="69">
        <v>9.9487968588332046E-2</v>
      </c>
      <c r="N112" s="69">
        <v>9.9487968588332046E-2</v>
      </c>
      <c r="O112" s="69">
        <v>9.9487968588332046E-2</v>
      </c>
      <c r="P112" s="69">
        <v>9.9487968588332046E-2</v>
      </c>
      <c r="Q112" s="69">
        <v>9.9487968588332046E-2</v>
      </c>
    </row>
    <row r="113" spans="1:17" x14ac:dyDescent="0.3">
      <c r="A113" s="32" t="s">
        <v>24</v>
      </c>
      <c r="H113" s="69">
        <v>0.40055922281728723</v>
      </c>
      <c r="I113" s="69">
        <v>0.40055922281728723</v>
      </c>
      <c r="J113" s="69">
        <v>0.40055922281728723</v>
      </c>
      <c r="K113" s="69">
        <v>0.40055922281728723</v>
      </c>
      <c r="L113" s="69">
        <v>0.40055922281728723</v>
      </c>
      <c r="M113" s="69">
        <v>0.40055922281728723</v>
      </c>
      <c r="N113" s="69">
        <v>0.40055922281728723</v>
      </c>
      <c r="O113" s="69">
        <v>0.40055922281728723</v>
      </c>
      <c r="P113" s="69">
        <v>0.40055922281728723</v>
      </c>
      <c r="Q113" s="69">
        <v>0.40055922281728723</v>
      </c>
    </row>
    <row r="114" spans="1:17" x14ac:dyDescent="0.3">
      <c r="A114" s="32"/>
      <c r="H114" s="62"/>
      <c r="I114" s="62"/>
      <c r="J114" s="62"/>
      <c r="K114" s="62"/>
      <c r="L114" s="62"/>
      <c r="M114" s="62"/>
      <c r="N114" s="62"/>
      <c r="O114" s="62"/>
      <c r="P114" s="62"/>
      <c r="Q114" s="62"/>
    </row>
    <row r="115" spans="1:17" x14ac:dyDescent="0.3">
      <c r="A115" s="32" t="s">
        <v>25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</row>
    <row r="116" spans="1:17" x14ac:dyDescent="0.3">
      <c r="A116" s="32" t="s">
        <v>90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</row>
  </sheetData>
  <sheetProtection algorithmName="SHA-512" hashValue="71XZeEYZ6gfg13NLlQwr+cg3MiMmkgX+kh/iAfTvuPaRWe0NjBD2iauV4wAtxHbjxT068s7NUXIzybI/ZyYtwQ==" saltValue="rfVtHENgbkTZ0h1clMNj6w==" spinCount="100000" sheet="1" objects="1" scenarios="1" selectLockedCells="1" selectUn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3</xdr:col>
                    <xdr:colOff>247650</xdr:colOff>
                    <xdr:row>0</xdr:row>
                    <xdr:rowOff>95250</xdr:rowOff>
                  </from>
                  <to>
                    <xdr:col>4</xdr:col>
                    <xdr:colOff>584200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Dashboard</vt:lpstr>
      <vt:lpstr>Financial Model</vt:lpstr>
      <vt:lpstr>Financial Ratios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</dc:creator>
  <cp:lastModifiedBy>Ramsey Hammad</cp:lastModifiedBy>
  <cp:lastPrinted>2020-06-27T04:46:40Z</cp:lastPrinted>
  <dcterms:created xsi:type="dcterms:W3CDTF">2020-06-26T17:54:56Z</dcterms:created>
  <dcterms:modified xsi:type="dcterms:W3CDTF">2025-05-13T03:53:05Z</dcterms:modified>
</cp:coreProperties>
</file>